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2795" windowHeight="11505" tabRatio="895" firstSheet="10" activeTab="14"/>
  </bookViews>
  <sheets>
    <sheet name="PermBallast" sheetId="13" r:id="rId1"/>
    <sheet name="FSMTable" sheetId="18" r:id="rId2"/>
    <sheet name="RollPeriod" sheetId="5" r:id="rId3"/>
    <sheet name="Chart-RollPeriod" sheetId="6" r:id="rId4"/>
    <sheet name="Hydro" sheetId="1" r:id="rId5"/>
    <sheet name="TrimTable" sheetId="12" r:id="rId6"/>
    <sheet name="KG Req" sheetId="46" r:id="rId7"/>
    <sheet name="Icing" sheetId="47" r:id="rId8"/>
    <sheet name="TankCap" sheetId="16" r:id="rId9"/>
    <sheet name="CargoSpaces" sheetId="27" r:id="rId10"/>
    <sheet name="GMTanks" sheetId="11" r:id="rId11"/>
    <sheet name="GMWeight" sheetId="9" r:id="rId12"/>
    <sheet name="TLI" sheetId="45" r:id="rId13"/>
    <sheet name="RMT MTR OPS" sheetId="48" r:id="rId14"/>
    <sheet name="SummaryLoad" sheetId="21" r:id="rId15"/>
    <sheet name="TankLoad" sheetId="19" r:id="rId16"/>
    <sheet name="MissionLoad" sheetId="17" r:id="rId17"/>
  </sheets>
  <externalReferences>
    <externalReference r:id="rId18"/>
  </externalReferences>
  <definedNames>
    <definedName name="p">#REF!</definedName>
    <definedName name="_xlnm.Print_Area" localSheetId="10">GMTanks!$B$2:$H$37</definedName>
    <definedName name="_xlnm.Print_Area" localSheetId="4">Hydro!$B$3:$K$40</definedName>
    <definedName name="_xlnm.Print_Area" localSheetId="6">'KG Req'!$A$1:$H$46</definedName>
    <definedName name="_xlnm.Print_Area" localSheetId="16">MissionLoad!#REF!</definedName>
    <definedName name="_xlnm.Print_Area" localSheetId="14">SummaryLoad!#REF!</definedName>
    <definedName name="_xlnm.Print_Area" localSheetId="8">TankCap!$B$2:$K$55</definedName>
    <definedName name="_xlnm.Print_Area" localSheetId="15">TankLoad!#REF!</definedName>
    <definedName name="SolidConditions">#REF!</definedName>
    <definedName name="Vessel_Name">[1]Cover!$A$2</definedName>
  </definedNames>
  <calcPr calcId="125725"/>
</workbook>
</file>

<file path=xl/calcChain.xml><?xml version="1.0" encoding="utf-8"?>
<calcChain xmlns="http://schemas.openxmlformats.org/spreadsheetml/2006/main">
  <c r="P25" i="1"/>
  <c r="P5"/>
  <c r="V6"/>
  <c r="R5"/>
  <c r="S5"/>
  <c r="T5"/>
  <c r="U5"/>
  <c r="V5"/>
  <c r="W5"/>
  <c r="X5"/>
  <c r="Y5"/>
  <c r="G13" i="18"/>
  <c r="AR29" i="17" l="1"/>
  <c r="AP29"/>
  <c r="AN29"/>
  <c r="AR28"/>
  <c r="AP28"/>
  <c r="AN28"/>
  <c r="AG29"/>
  <c r="AE29"/>
  <c r="AC29"/>
  <c r="AG28"/>
  <c r="AE28"/>
  <c r="AC28"/>
  <c r="V29"/>
  <c r="T29"/>
  <c r="R29"/>
  <c r="V28"/>
  <c r="T28"/>
  <c r="R28"/>
  <c r="K29"/>
  <c r="K28"/>
  <c r="I29"/>
  <c r="I28"/>
  <c r="G29"/>
  <c r="G28"/>
  <c r="P47" l="1"/>
  <c r="AR27"/>
  <c r="AP27"/>
  <c r="AN27"/>
  <c r="AR26"/>
  <c r="AP26"/>
  <c r="AN26"/>
  <c r="AR25"/>
  <c r="AP25"/>
  <c r="AN25"/>
  <c r="AR24"/>
  <c r="AP24"/>
  <c r="AN24"/>
  <c r="AG27"/>
  <c r="AE27"/>
  <c r="AC27"/>
  <c r="AG26"/>
  <c r="AE26"/>
  <c r="AC26"/>
  <c r="AG25"/>
  <c r="AE25"/>
  <c r="AC25"/>
  <c r="AG24"/>
  <c r="AE24"/>
  <c r="AC24"/>
  <c r="V27"/>
  <c r="T27"/>
  <c r="R27"/>
  <c r="V26"/>
  <c r="T26"/>
  <c r="R26"/>
  <c r="V25"/>
  <c r="T25"/>
  <c r="R25"/>
  <c r="V24"/>
  <c r="T24"/>
  <c r="R24"/>
  <c r="K27"/>
  <c r="K26"/>
  <c r="K25"/>
  <c r="K24"/>
  <c r="I27"/>
  <c r="I26"/>
  <c r="I25"/>
  <c r="I24"/>
  <c r="AR18"/>
  <c r="AP18"/>
  <c r="AN18"/>
  <c r="AG18"/>
  <c r="AE18"/>
  <c r="AC18"/>
  <c r="V18"/>
  <c r="T18"/>
  <c r="R18"/>
  <c r="K18"/>
  <c r="I18"/>
  <c r="G18"/>
  <c r="G27"/>
  <c r="G26"/>
  <c r="G25"/>
  <c r="G24"/>
  <c r="AR20"/>
  <c r="AR21"/>
  <c r="AR22"/>
  <c r="AR23"/>
  <c r="AP20"/>
  <c r="AP21"/>
  <c r="AP22"/>
  <c r="AP23"/>
  <c r="AN23"/>
  <c r="AN20"/>
  <c r="AN21"/>
  <c r="AN22"/>
  <c r="AG20"/>
  <c r="AG21"/>
  <c r="AG22"/>
  <c r="AG23"/>
  <c r="AE20"/>
  <c r="AE21"/>
  <c r="AE22"/>
  <c r="AE23"/>
  <c r="AC20"/>
  <c r="AC21"/>
  <c r="AC22"/>
  <c r="AC23"/>
  <c r="V20"/>
  <c r="V21"/>
  <c r="V22"/>
  <c r="V23"/>
  <c r="T20"/>
  <c r="T21"/>
  <c r="T22"/>
  <c r="T23"/>
  <c r="R20"/>
  <c r="R21"/>
  <c r="R22"/>
  <c r="R23"/>
  <c r="K20"/>
  <c r="K21"/>
  <c r="K22"/>
  <c r="K23"/>
  <c r="I20"/>
  <c r="I21"/>
  <c r="I22"/>
  <c r="I23"/>
  <c r="G20"/>
  <c r="G21"/>
  <c r="G22"/>
  <c r="G23"/>
  <c r="E27" i="46" l="1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26"/>
  <c r="E53" i="11"/>
  <c r="F53"/>
  <c r="G53"/>
  <c r="H53"/>
  <c r="D53"/>
  <c r="J13" i="46"/>
  <c r="J14" s="1"/>
  <c r="I13"/>
  <c r="I14" s="1"/>
  <c r="J12"/>
  <c r="J11"/>
  <c r="I12"/>
  <c r="I11"/>
  <c r="J9"/>
  <c r="J10" s="1"/>
  <c r="I9"/>
  <c r="I10" s="1"/>
  <c r="AL47" i="17"/>
  <c r="AA47"/>
  <c r="E47"/>
  <c r="AR19"/>
  <c r="AP19"/>
  <c r="AN19"/>
  <c r="AG19"/>
  <c r="AE19"/>
  <c r="AC19"/>
  <c r="V19"/>
  <c r="T19"/>
  <c r="R19"/>
  <c r="K19"/>
  <c r="I19"/>
  <c r="G19"/>
  <c r="AR17"/>
  <c r="AP17"/>
  <c r="AN17"/>
  <c r="AG17"/>
  <c r="AE17"/>
  <c r="AC17"/>
  <c r="V17"/>
  <c r="T17"/>
  <c r="R17"/>
  <c r="K17"/>
  <c r="I17"/>
  <c r="G17"/>
  <c r="AR16"/>
  <c r="AP16"/>
  <c r="AN16"/>
  <c r="AG16"/>
  <c r="AE16"/>
  <c r="AC16"/>
  <c r="V16"/>
  <c r="T16"/>
  <c r="R16"/>
  <c r="K16"/>
  <c r="I16"/>
  <c r="G16"/>
  <c r="AR15"/>
  <c r="AP15"/>
  <c r="AN15"/>
  <c r="AG15"/>
  <c r="AE15"/>
  <c r="AC15"/>
  <c r="V15"/>
  <c r="T15"/>
  <c r="R15"/>
  <c r="K15"/>
  <c r="I15"/>
  <c r="G15"/>
  <c r="AR14"/>
  <c r="AP14"/>
  <c r="AN14"/>
  <c r="AG14"/>
  <c r="AE14"/>
  <c r="AC14"/>
  <c r="V14"/>
  <c r="T14"/>
  <c r="R14"/>
  <c r="K14"/>
  <c r="I14"/>
  <c r="G14"/>
  <c r="AR13"/>
  <c r="AP13"/>
  <c r="AN13"/>
  <c r="AG13"/>
  <c r="AE13"/>
  <c r="AC13"/>
  <c r="V13"/>
  <c r="T13"/>
  <c r="R13"/>
  <c r="K13"/>
  <c r="I13"/>
  <c r="G13"/>
  <c r="AR12"/>
  <c r="AP12"/>
  <c r="AN12"/>
  <c r="AG12"/>
  <c r="AE12"/>
  <c r="AC12"/>
  <c r="V12"/>
  <c r="T12"/>
  <c r="R12"/>
  <c r="K12"/>
  <c r="I12"/>
  <c r="G12"/>
  <c r="AR11"/>
  <c r="AP11"/>
  <c r="AN11"/>
  <c r="AG11"/>
  <c r="AE11"/>
  <c r="AC11"/>
  <c r="V11"/>
  <c r="T11"/>
  <c r="R11"/>
  <c r="K11"/>
  <c r="I11"/>
  <c r="G11"/>
  <c r="AR10"/>
  <c r="AP10"/>
  <c r="AN10"/>
  <c r="AG10"/>
  <c r="AE10"/>
  <c r="AC10"/>
  <c r="V10"/>
  <c r="T10"/>
  <c r="R10"/>
  <c r="K10"/>
  <c r="I10"/>
  <c r="G10"/>
  <c r="AR9"/>
  <c r="AP9"/>
  <c r="AN9"/>
  <c r="AG9"/>
  <c r="AE9"/>
  <c r="AC9"/>
  <c r="V9"/>
  <c r="T9"/>
  <c r="R9"/>
  <c r="K9"/>
  <c r="I9"/>
  <c r="G9"/>
  <c r="AR8"/>
  <c r="AP8"/>
  <c r="AN8"/>
  <c r="AG8"/>
  <c r="AE8"/>
  <c r="AC8"/>
  <c r="V8"/>
  <c r="T8"/>
  <c r="R8"/>
  <c r="K8"/>
  <c r="I8"/>
  <c r="G8"/>
  <c r="AR7"/>
  <c r="AP7"/>
  <c r="AN7"/>
  <c r="AG7"/>
  <c r="AE7"/>
  <c r="AC7"/>
  <c r="V7"/>
  <c r="T7"/>
  <c r="R7"/>
  <c r="K7"/>
  <c r="I7"/>
  <c r="G7"/>
  <c r="AV54" i="19"/>
  <c r="AO54"/>
  <c r="AJ54"/>
  <c r="AC54"/>
  <c r="X54"/>
  <c r="Q54"/>
  <c r="AU53"/>
  <c r="AS53"/>
  <c r="AQ53"/>
  <c r="AI53"/>
  <c r="AG53"/>
  <c r="AE53"/>
  <c r="W53"/>
  <c r="U53"/>
  <c r="S53"/>
  <c r="AU51"/>
  <c r="AS51"/>
  <c r="AQ51"/>
  <c r="AI51"/>
  <c r="AG51"/>
  <c r="AE51"/>
  <c r="W51"/>
  <c r="U51"/>
  <c r="S51"/>
  <c r="AU49"/>
  <c r="AS49"/>
  <c r="AQ49"/>
  <c r="AI49"/>
  <c r="AG49"/>
  <c r="AE49"/>
  <c r="W49"/>
  <c r="U49"/>
  <c r="S49"/>
  <c r="AU48"/>
  <c r="AS48"/>
  <c r="AQ48"/>
  <c r="AI48"/>
  <c r="AG48"/>
  <c r="AE48"/>
  <c r="W48"/>
  <c r="U48"/>
  <c r="S48"/>
  <c r="AU47"/>
  <c r="AS47"/>
  <c r="AQ47"/>
  <c r="AI47"/>
  <c r="AG47"/>
  <c r="AE47"/>
  <c r="W47"/>
  <c r="U47"/>
  <c r="S47"/>
  <c r="AU46"/>
  <c r="AS46"/>
  <c r="AQ46"/>
  <c r="AI46"/>
  <c r="AG46"/>
  <c r="AE46"/>
  <c r="W46"/>
  <c r="U46"/>
  <c r="S46"/>
  <c r="AU45"/>
  <c r="AS45"/>
  <c r="AQ45"/>
  <c r="AI45"/>
  <c r="AG45"/>
  <c r="AE45"/>
  <c r="W45"/>
  <c r="U45"/>
  <c r="S45"/>
  <c r="AU44"/>
  <c r="AS44"/>
  <c r="AQ44"/>
  <c r="AI44"/>
  <c r="AG44"/>
  <c r="AE44"/>
  <c r="W44"/>
  <c r="U44"/>
  <c r="S44"/>
  <c r="AU42"/>
  <c r="AS42"/>
  <c r="AQ42"/>
  <c r="AI42"/>
  <c r="AG42"/>
  <c r="AE42"/>
  <c r="W42"/>
  <c r="U42"/>
  <c r="S42"/>
  <c r="AU41"/>
  <c r="AS41"/>
  <c r="AQ41"/>
  <c r="AI41"/>
  <c r="AG41"/>
  <c r="AE41"/>
  <c r="W41"/>
  <c r="U41"/>
  <c r="S41"/>
  <c r="AU39"/>
  <c r="AS39"/>
  <c r="AQ39"/>
  <c r="AI39"/>
  <c r="AG39"/>
  <c r="AE39"/>
  <c r="W39"/>
  <c r="U39"/>
  <c r="S39"/>
  <c r="AU38"/>
  <c r="AS38"/>
  <c r="AQ38"/>
  <c r="AI38"/>
  <c r="AG38"/>
  <c r="AE38"/>
  <c r="W38"/>
  <c r="U38"/>
  <c r="S38"/>
  <c r="AU36"/>
  <c r="AS36"/>
  <c r="AQ36"/>
  <c r="AI36"/>
  <c r="AG36"/>
  <c r="AE36"/>
  <c r="W36"/>
  <c r="U36"/>
  <c r="S36"/>
  <c r="AU35"/>
  <c r="AS35"/>
  <c r="AQ35"/>
  <c r="AI35"/>
  <c r="AG35"/>
  <c r="AE35"/>
  <c r="W35"/>
  <c r="U35"/>
  <c r="S35"/>
  <c r="AU34"/>
  <c r="AS34"/>
  <c r="AQ34"/>
  <c r="AI34"/>
  <c r="AG34"/>
  <c r="AE34"/>
  <c r="W34"/>
  <c r="U34"/>
  <c r="S34"/>
  <c r="AU33"/>
  <c r="AS33"/>
  <c r="AQ33"/>
  <c r="AI33"/>
  <c r="AG33"/>
  <c r="AE33"/>
  <c r="W33"/>
  <c r="U33"/>
  <c r="S33"/>
  <c r="AU32"/>
  <c r="AS32"/>
  <c r="AQ32"/>
  <c r="AI32"/>
  <c r="AG32"/>
  <c r="AE32"/>
  <c r="W32"/>
  <c r="U32"/>
  <c r="S32"/>
  <c r="AU31"/>
  <c r="AS31"/>
  <c r="AQ31"/>
  <c r="AI31"/>
  <c r="AG31"/>
  <c r="AE31"/>
  <c r="W31"/>
  <c r="U31"/>
  <c r="S31"/>
  <c r="AU30"/>
  <c r="AS30"/>
  <c r="AQ30"/>
  <c r="AI30"/>
  <c r="AG30"/>
  <c r="AE30"/>
  <c r="W30"/>
  <c r="U30"/>
  <c r="S30"/>
  <c r="AU29"/>
  <c r="AS29"/>
  <c r="AQ29"/>
  <c r="AI29"/>
  <c r="AG29"/>
  <c r="AE29"/>
  <c r="W29"/>
  <c r="U29"/>
  <c r="S29"/>
  <c r="AU28"/>
  <c r="AS28"/>
  <c r="AQ28"/>
  <c r="AI28"/>
  <c r="AG28"/>
  <c r="AE28"/>
  <c r="W28"/>
  <c r="U28"/>
  <c r="S28"/>
  <c r="AU27"/>
  <c r="AS27"/>
  <c r="AQ27"/>
  <c r="AI27"/>
  <c r="AG27"/>
  <c r="AE27"/>
  <c r="W27"/>
  <c r="U27"/>
  <c r="S27"/>
  <c r="AU26"/>
  <c r="AS26"/>
  <c r="AQ26"/>
  <c r="AI26"/>
  <c r="AG26"/>
  <c r="AE26"/>
  <c r="W26"/>
  <c r="U26"/>
  <c r="S26"/>
  <c r="AU25"/>
  <c r="AS25"/>
  <c r="AQ25"/>
  <c r="AI25"/>
  <c r="AG25"/>
  <c r="AE25"/>
  <c r="W25"/>
  <c r="U25"/>
  <c r="S25"/>
  <c r="AU24"/>
  <c r="AS24"/>
  <c r="AQ24"/>
  <c r="AI24"/>
  <c r="AG24"/>
  <c r="AE24"/>
  <c r="W24"/>
  <c r="U24"/>
  <c r="S24"/>
  <c r="AU23"/>
  <c r="AS23"/>
  <c r="AQ23"/>
  <c r="AI23"/>
  <c r="AG23"/>
  <c r="AE23"/>
  <c r="W23"/>
  <c r="U23"/>
  <c r="S23"/>
  <c r="AU22"/>
  <c r="AS22"/>
  <c r="AQ22"/>
  <c r="AI22"/>
  <c r="AG22"/>
  <c r="AE22"/>
  <c r="W22"/>
  <c r="U22"/>
  <c r="S22"/>
  <c r="AU21"/>
  <c r="AS21"/>
  <c r="AQ21"/>
  <c r="AI21"/>
  <c r="AG21"/>
  <c r="AE21"/>
  <c r="W21"/>
  <c r="U21"/>
  <c r="S21"/>
  <c r="AU19"/>
  <c r="AS19"/>
  <c r="AQ19"/>
  <c r="AI19"/>
  <c r="AG19"/>
  <c r="AE19"/>
  <c r="W19"/>
  <c r="U19"/>
  <c r="S19"/>
  <c r="AU18"/>
  <c r="AS18"/>
  <c r="AQ18"/>
  <c r="AI18"/>
  <c r="AG18"/>
  <c r="AE18"/>
  <c r="W18"/>
  <c r="U18"/>
  <c r="S18"/>
  <c r="AU17"/>
  <c r="AS17"/>
  <c r="AQ17"/>
  <c r="AI17"/>
  <c r="AG17"/>
  <c r="AE17"/>
  <c r="W17"/>
  <c r="U17"/>
  <c r="S17"/>
  <c r="AU16"/>
  <c r="AS16"/>
  <c r="AQ16"/>
  <c r="AI16"/>
  <c r="AG16"/>
  <c r="AE16"/>
  <c r="W16"/>
  <c r="U16"/>
  <c r="S16"/>
  <c r="AU15"/>
  <c r="AS15"/>
  <c r="AQ15"/>
  <c r="AI15"/>
  <c r="AG15"/>
  <c r="AE15"/>
  <c r="W15"/>
  <c r="U15"/>
  <c r="S15"/>
  <c r="AU14"/>
  <c r="AS14"/>
  <c r="AQ14"/>
  <c r="AI14"/>
  <c r="AG14"/>
  <c r="AE14"/>
  <c r="W14"/>
  <c r="U14"/>
  <c r="S14"/>
  <c r="AU13"/>
  <c r="AS13"/>
  <c r="AQ13"/>
  <c r="AI13"/>
  <c r="AG13"/>
  <c r="AE13"/>
  <c r="W13"/>
  <c r="U13"/>
  <c r="S13"/>
  <c r="AU12"/>
  <c r="AS12"/>
  <c r="AQ12"/>
  <c r="AI12"/>
  <c r="AG12"/>
  <c r="AE12"/>
  <c r="W12"/>
  <c r="U12"/>
  <c r="S12"/>
  <c r="AU11"/>
  <c r="AS11"/>
  <c r="AQ11"/>
  <c r="AI11"/>
  <c r="AG11"/>
  <c r="AE11"/>
  <c r="W11"/>
  <c r="U11"/>
  <c r="S11"/>
  <c r="AU10"/>
  <c r="AS10"/>
  <c r="AQ10"/>
  <c r="AI10"/>
  <c r="AG10"/>
  <c r="AE10"/>
  <c r="W10"/>
  <c r="U10"/>
  <c r="S10"/>
  <c r="AU9"/>
  <c r="AS9"/>
  <c r="AQ9"/>
  <c r="AI9"/>
  <c r="AG9"/>
  <c r="AE9"/>
  <c r="W9"/>
  <c r="U9"/>
  <c r="S9"/>
  <c r="AU8"/>
  <c r="AS8"/>
  <c r="AQ8"/>
  <c r="AI8"/>
  <c r="AG8"/>
  <c r="AE8"/>
  <c r="W8"/>
  <c r="U8"/>
  <c r="S8"/>
  <c r="AU7"/>
  <c r="AS7"/>
  <c r="AQ7"/>
  <c r="AI7"/>
  <c r="AG7"/>
  <c r="AE7"/>
  <c r="W7"/>
  <c r="U7"/>
  <c r="S7"/>
  <c r="D14" i="21" l="1"/>
  <c r="I14"/>
  <c r="G14"/>
  <c r="AE54" i="19"/>
  <c r="AD54" s="1"/>
  <c r="G47" i="17"/>
  <c r="F47" s="1"/>
  <c r="AG47"/>
  <c r="AF47" s="1"/>
  <c r="T47"/>
  <c r="S47" s="1"/>
  <c r="AN47"/>
  <c r="AM47" s="1"/>
  <c r="I47"/>
  <c r="H47" s="1"/>
  <c r="R47"/>
  <c r="Q47" s="1"/>
  <c r="AR47"/>
  <c r="AQ47" s="1"/>
  <c r="AE47"/>
  <c r="AD47" s="1"/>
  <c r="V47"/>
  <c r="U47" s="1"/>
  <c r="K47"/>
  <c r="J47" s="1"/>
  <c r="AP47"/>
  <c r="AO47" s="1"/>
  <c r="AC47"/>
  <c r="AB47" s="1"/>
  <c r="S54" i="19"/>
  <c r="R54" s="1"/>
  <c r="AI54"/>
  <c r="AH54" s="1"/>
  <c r="AG54"/>
  <c r="AF54" s="1"/>
  <c r="AS54"/>
  <c r="AR54" s="1"/>
  <c r="AU54"/>
  <c r="AT54" s="1"/>
  <c r="AQ54"/>
  <c r="AP54" s="1"/>
  <c r="W54"/>
  <c r="V54" s="1"/>
  <c r="U54"/>
  <c r="T54" s="1"/>
  <c r="F19" i="16"/>
  <c r="D14" i="46" l="1"/>
  <c r="D13"/>
  <c r="D12"/>
  <c r="D11"/>
  <c r="D10"/>
  <c r="D9"/>
  <c r="D8"/>
  <c r="BX11" i="21"/>
  <c r="BL11"/>
  <c r="AL11"/>
  <c r="CD10"/>
  <c r="CD13" s="1"/>
  <c r="BF10"/>
  <c r="BF13" s="1"/>
  <c r="AH10"/>
  <c r="AH13" s="1"/>
  <c r="AL10"/>
  <c r="AX10"/>
  <c r="BJ10"/>
  <c r="BV10"/>
  <c r="CH10"/>
  <c r="Z11"/>
  <c r="AX11"/>
  <c r="AZ11"/>
  <c r="BJ11"/>
  <c r="BV11"/>
  <c r="CH11"/>
  <c r="AN12"/>
  <c r="AQ12"/>
  <c r="AS12"/>
  <c r="BL12"/>
  <c r="BO12"/>
  <c r="BQ12"/>
  <c r="CJ12"/>
  <c r="CM12"/>
  <c r="CO12"/>
  <c r="N14"/>
  <c r="Z14" s="1"/>
  <c r="AL14" s="1"/>
  <c r="AX14" s="1"/>
  <c r="BJ14" s="1"/>
  <c r="BV14" s="1"/>
  <c r="CH14" s="1"/>
  <c r="V14"/>
  <c r="AH14" s="1"/>
  <c r="AT14" s="1"/>
  <c r="BF14" s="1"/>
  <c r="BR14" s="1"/>
  <c r="CD14" s="1"/>
  <c r="CP14" s="1"/>
  <c r="T14"/>
  <c r="AF14" s="1"/>
  <c r="AR14" s="1"/>
  <c r="BD14" s="1"/>
  <c r="BP14" s="1"/>
  <c r="CB14" s="1"/>
  <c r="CN14" s="1"/>
  <c r="R14"/>
  <c r="AD14" s="1"/>
  <c r="AP14" s="1"/>
  <c r="BB14" s="1"/>
  <c r="BN14" s="1"/>
  <c r="BZ14" s="1"/>
  <c r="CL14" s="1"/>
  <c r="O14"/>
  <c r="AA14" s="1"/>
  <c r="AM14" s="1"/>
  <c r="AY14" s="1"/>
  <c r="BK14" s="1"/>
  <c r="BW14" s="1"/>
  <c r="CI14" s="1"/>
  <c r="V13"/>
  <c r="U13"/>
  <c r="S13"/>
  <c r="P13"/>
  <c r="N13"/>
  <c r="U14"/>
  <c r="AG14" s="1"/>
  <c r="AS14" s="1"/>
  <c r="BE14" s="1"/>
  <c r="BQ14" s="1"/>
  <c r="CC14" s="1"/>
  <c r="CO14" s="1"/>
  <c r="S14"/>
  <c r="AE14" s="1"/>
  <c r="P14"/>
  <c r="AB14" s="1"/>
  <c r="AN14" s="1"/>
  <c r="AZ14" s="1"/>
  <c r="BL14" s="1"/>
  <c r="BX14" s="1"/>
  <c r="CJ14" s="1"/>
  <c r="K14" i="1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13"/>
  <c r="M5" i="13"/>
  <c r="N5"/>
  <c r="L5"/>
  <c r="K5"/>
  <c r="W47" i="1"/>
  <c r="V15" i="21" l="1"/>
  <c r="AQ14"/>
  <c r="BC14" s="1"/>
  <c r="BO14" s="1"/>
  <c r="CA14" s="1"/>
  <c r="CM14" s="1"/>
  <c r="AX13"/>
  <c r="AX15" s="1"/>
  <c r="BE17" s="1"/>
  <c r="G11" i="46" s="1"/>
  <c r="O13" i="21"/>
  <c r="Z10"/>
  <c r="Z13" s="1"/>
  <c r="Z15" s="1"/>
  <c r="AG17" s="1"/>
  <c r="G9" i="46" s="1"/>
  <c r="AG11" i="21"/>
  <c r="AS11"/>
  <c r="CC11"/>
  <c r="CO11"/>
  <c r="AB11"/>
  <c r="AN11"/>
  <c r="CM11"/>
  <c r="CA11"/>
  <c r="BQ11"/>
  <c r="BE11"/>
  <c r="AE11"/>
  <c r="AQ11"/>
  <c r="BC11"/>
  <c r="BO11"/>
  <c r="CJ11"/>
  <c r="BJ13"/>
  <c r="BJ15" s="1"/>
  <c r="BQ17" s="1"/>
  <c r="G12" i="46" s="1"/>
  <c r="BV13" i="21"/>
  <c r="BV15" s="1"/>
  <c r="CC17" s="1"/>
  <c r="G13" i="46" s="1"/>
  <c r="AL13" i="21"/>
  <c r="AL15" s="1"/>
  <c r="AS17" s="1"/>
  <c r="G10" i="46" s="1"/>
  <c r="CH13" i="21"/>
  <c r="CH15" s="1"/>
  <c r="CO17" s="1"/>
  <c r="G14" i="46" s="1"/>
  <c r="BX10" i="21"/>
  <c r="BX13" s="1"/>
  <c r="BX15" s="1"/>
  <c r="CJ10"/>
  <c r="BE10"/>
  <c r="BQ10"/>
  <c r="BC10"/>
  <c r="AE10"/>
  <c r="CA10"/>
  <c r="CM10"/>
  <c r="CC10"/>
  <c r="CO10"/>
  <c r="CP10"/>
  <c r="CP13" s="1"/>
  <c r="CP15" s="1"/>
  <c r="BR10"/>
  <c r="BR13" s="1"/>
  <c r="BR15" s="1"/>
  <c r="AT10"/>
  <c r="AT13" s="1"/>
  <c r="AT15" s="1"/>
  <c r="U15"/>
  <c r="S15"/>
  <c r="P15"/>
  <c r="AH15"/>
  <c r="CD15"/>
  <c r="BF15"/>
  <c r="N15"/>
  <c r="U17" s="1"/>
  <c r="G8" i="46" s="1"/>
  <c r="T13" i="21"/>
  <c r="R13"/>
  <c r="BQ13" l="1"/>
  <c r="BQ15" s="1"/>
  <c r="BP15" s="1"/>
  <c r="BC13"/>
  <c r="BB13" s="1"/>
  <c r="T15"/>
  <c r="CA13"/>
  <c r="CA15" s="1"/>
  <c r="BZ15" s="1"/>
  <c r="CC20" s="1"/>
  <c r="CO13"/>
  <c r="CO15" s="1"/>
  <c r="CN15" s="1"/>
  <c r="CJ13"/>
  <c r="CJ15" s="1"/>
  <c r="CI15" s="1"/>
  <c r="BE13"/>
  <c r="BE15" s="1"/>
  <c r="BD15" s="1"/>
  <c r="AE13"/>
  <c r="CO34"/>
  <c r="BO10"/>
  <c r="BO13" s="1"/>
  <c r="BN13" s="1"/>
  <c r="AZ10"/>
  <c r="AZ13" s="1"/>
  <c r="AY13" s="1"/>
  <c r="BL10"/>
  <c r="BL13" s="1"/>
  <c r="BL15" s="1"/>
  <c r="BK15" s="1"/>
  <c r="AB10"/>
  <c r="AB13" s="1"/>
  <c r="AB15" s="1"/>
  <c r="AA15" s="1"/>
  <c r="AN10"/>
  <c r="AN13" s="1"/>
  <c r="AQ10"/>
  <c r="AQ13" s="1"/>
  <c r="AP13" s="1"/>
  <c r="AG10"/>
  <c r="AG13" s="1"/>
  <c r="AS10"/>
  <c r="AS13" s="1"/>
  <c r="AS15" s="1"/>
  <c r="AR15" s="1"/>
  <c r="CI11"/>
  <c r="BW11"/>
  <c r="AR11"/>
  <c r="AF11"/>
  <c r="AD11"/>
  <c r="AP11"/>
  <c r="BN11"/>
  <c r="BB11"/>
  <c r="BZ11"/>
  <c r="CL11"/>
  <c r="AY11"/>
  <c r="BK11"/>
  <c r="CB11"/>
  <c r="CN11"/>
  <c r="BD11"/>
  <c r="BP11"/>
  <c r="AM11"/>
  <c r="AA11"/>
  <c r="CM13"/>
  <c r="CC13"/>
  <c r="CB13" s="1"/>
  <c r="AP10"/>
  <c r="AD10"/>
  <c r="CB10"/>
  <c r="CN10"/>
  <c r="AY10"/>
  <c r="BK10"/>
  <c r="BD10"/>
  <c r="BP10"/>
  <c r="AF10"/>
  <c r="AR10"/>
  <c r="BB10"/>
  <c r="BN10"/>
  <c r="BW13"/>
  <c r="BW10"/>
  <c r="CI10"/>
  <c r="BZ10"/>
  <c r="CL10"/>
  <c r="AA10"/>
  <c r="AM10"/>
  <c r="BW15"/>
  <c r="BQ34"/>
  <c r="AG34"/>
  <c r="U17" i="47" s="1"/>
  <c r="CC34" i="21"/>
  <c r="U19" i="47" s="1"/>
  <c r="U34" i="21"/>
  <c r="AS34"/>
  <c r="BE34"/>
  <c r="U18" i="47" s="1"/>
  <c r="R15" i="21"/>
  <c r="U20" s="1"/>
  <c r="O15"/>
  <c r="I37" i="47"/>
  <c r="J37"/>
  <c r="K37"/>
  <c r="I38"/>
  <c r="J38"/>
  <c r="K38"/>
  <c r="H38"/>
  <c r="H37"/>
  <c r="G38"/>
  <c r="F38"/>
  <c r="G37"/>
  <c r="F37"/>
  <c r="K26"/>
  <c r="J26"/>
  <c r="K25"/>
  <c r="J25"/>
  <c r="K24"/>
  <c r="J24"/>
  <c r="I24"/>
  <c r="I25" s="1"/>
  <c r="D12"/>
  <c r="H10" s="1"/>
  <c r="D13"/>
  <c r="C13"/>
  <c r="C12"/>
  <c r="H11"/>
  <c r="H24"/>
  <c r="H25" s="1"/>
  <c r="H26" s="1"/>
  <c r="H23"/>
  <c r="H22"/>
  <c r="C8" i="9"/>
  <c r="C9"/>
  <c r="C10"/>
  <c r="C11"/>
  <c r="C12"/>
  <c r="C13"/>
  <c r="C14"/>
  <c r="C15"/>
  <c r="C16"/>
  <c r="C17"/>
  <c r="C18"/>
  <c r="C7"/>
  <c r="BP13" i="21" l="1"/>
  <c r="CC15"/>
  <c r="CB15" s="1"/>
  <c r="BC15"/>
  <c r="BB15" s="1"/>
  <c r="BE20" s="1"/>
  <c r="CN13"/>
  <c r="AE15"/>
  <c r="AD15" s="1"/>
  <c r="AG20" s="1"/>
  <c r="CI13"/>
  <c r="U35"/>
  <c r="H8" i="46" s="1"/>
  <c r="BZ13" i="21"/>
  <c r="BK13"/>
  <c r="BD13"/>
  <c r="AD13"/>
  <c r="CC23"/>
  <c r="CC24" s="1"/>
  <c r="CC35"/>
  <c r="H13" i="46" s="1"/>
  <c r="W6" i="47"/>
  <c r="W5"/>
  <c r="W4"/>
  <c r="W10"/>
  <c r="W12"/>
  <c r="W11"/>
  <c r="CO35" i="21"/>
  <c r="H14" i="46" s="1"/>
  <c r="BQ35" i="21"/>
  <c r="H12" i="46" s="1"/>
  <c r="AR13" i="21"/>
  <c r="AG35"/>
  <c r="H9" i="46" s="1"/>
  <c r="W7" i="47"/>
  <c r="W9"/>
  <c r="W8"/>
  <c r="BO15" i="21"/>
  <c r="BN15" s="1"/>
  <c r="BQ20" s="1"/>
  <c r="AZ15"/>
  <c r="AY15" s="1"/>
  <c r="BE35" s="1"/>
  <c r="H11" i="46" s="1"/>
  <c r="AA13" i="21"/>
  <c r="AF13"/>
  <c r="AG15"/>
  <c r="AF15" s="1"/>
  <c r="AQ15"/>
  <c r="AP15" s="1"/>
  <c r="AS20" s="1"/>
  <c r="CM15"/>
  <c r="CL15" s="1"/>
  <c r="CO20" s="1"/>
  <c r="CO24" s="1"/>
  <c r="E14" i="46" s="1"/>
  <c r="CL13" i="21"/>
  <c r="AN15"/>
  <c r="AM15" s="1"/>
  <c r="AM13"/>
  <c r="U23"/>
  <c r="U24" s="1"/>
  <c r="E8" i="46" s="1"/>
  <c r="AG23" i="21"/>
  <c r="BQ23"/>
  <c r="I26" i="47"/>
  <c r="H12"/>
  <c r="H13" s="1"/>
  <c r="H14" s="1"/>
  <c r="D48" i="46"/>
  <c r="D49"/>
  <c r="D50"/>
  <c r="D51"/>
  <c r="D44"/>
  <c r="D45"/>
  <c r="D46"/>
  <c r="D47"/>
  <c r="D27"/>
  <c r="D28"/>
  <c r="D29"/>
  <c r="D30"/>
  <c r="D31"/>
  <c r="D32"/>
  <c r="D33"/>
  <c r="D34"/>
  <c r="D35"/>
  <c r="D36"/>
  <c r="D37"/>
  <c r="D38"/>
  <c r="D39"/>
  <c r="D40"/>
  <c r="D41"/>
  <c r="D42"/>
  <c r="D43"/>
  <c r="D26"/>
  <c r="Z48" i="1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47"/>
  <c r="AG24" i="21" l="1"/>
  <c r="E9" i="46" s="1"/>
  <c r="BE23" i="21"/>
  <c r="BE24" s="1"/>
  <c r="E11" i="46" s="1"/>
  <c r="CC26" i="21"/>
  <c r="CC27" s="1"/>
  <c r="E13" i="46"/>
  <c r="CO37" i="21"/>
  <c r="CC41"/>
  <c r="CC42" s="1"/>
  <c r="CC43" s="1"/>
  <c r="F13" i="46" s="1"/>
  <c r="BQ24" i="21"/>
  <c r="E12" i="46" s="1"/>
  <c r="AS23" i="21"/>
  <c r="AS24" s="1"/>
  <c r="AS26" s="1"/>
  <c r="AS27" s="1"/>
  <c r="AS35"/>
  <c r="AS37" s="1"/>
  <c r="CO30"/>
  <c r="CO29"/>
  <c r="CO26"/>
  <c r="CO27" s="1"/>
  <c r="CO28"/>
  <c r="CO41"/>
  <c r="CO42" s="1"/>
  <c r="CO43" s="1"/>
  <c r="F14" i="46" s="1"/>
  <c r="CC37" i="21"/>
  <c r="CC30"/>
  <c r="CC29"/>
  <c r="CC28"/>
  <c r="BE37"/>
  <c r="BE41"/>
  <c r="BE42" s="1"/>
  <c r="BE43" s="1"/>
  <c r="F11" i="46" s="1"/>
  <c r="U29" i="21"/>
  <c r="U28"/>
  <c r="U30"/>
  <c r="U26"/>
  <c r="U27" s="1"/>
  <c r="U41"/>
  <c r="U42" s="1"/>
  <c r="U43" s="1"/>
  <c r="F8" i="46" s="1"/>
  <c r="U37" i="21"/>
  <c r="BQ37"/>
  <c r="BQ41"/>
  <c r="BQ42" s="1"/>
  <c r="BQ43" s="1"/>
  <c r="F12" i="46" s="1"/>
  <c r="AG41" i="21"/>
  <c r="AG42" s="1"/>
  <c r="AG43" s="1"/>
  <c r="F9" i="46" s="1"/>
  <c r="AG37" i="21"/>
  <c r="I14" i="47"/>
  <c r="K14"/>
  <c r="J12"/>
  <c r="J13" s="1"/>
  <c r="K12"/>
  <c r="K13" s="1"/>
  <c r="I12"/>
  <c r="I13" s="1"/>
  <c r="BE30" i="21" l="1"/>
  <c r="BE26"/>
  <c r="BE27" s="1"/>
  <c r="AG30"/>
  <c r="AG29"/>
  <c r="AG28"/>
  <c r="AG26"/>
  <c r="AG27" s="1"/>
  <c r="BE29"/>
  <c r="BE28"/>
  <c r="BQ30"/>
  <c r="BQ29"/>
  <c r="BQ26"/>
  <c r="BQ27" s="1"/>
  <c r="BQ28"/>
  <c r="AS28"/>
  <c r="E10" i="46"/>
  <c r="H10"/>
  <c r="AS41" i="21"/>
  <c r="AS42" s="1"/>
  <c r="AS43" s="1"/>
  <c r="F10" i="46" s="1"/>
  <c r="AS30" i="21"/>
  <c r="AS29"/>
  <c r="J14" i="47"/>
  <c r="D7" i="9"/>
  <c r="F18"/>
  <c r="F17"/>
  <c r="D18" l="1"/>
  <c r="E18"/>
  <c r="D17"/>
  <c r="E17"/>
  <c r="Q26" i="12" l="1"/>
  <c r="Q27" s="1"/>
  <c r="R26"/>
  <c r="P26"/>
  <c r="U36" a="1"/>
  <c r="U42" s="1"/>
  <c r="U43"/>
  <c r="R36" a="1"/>
  <c r="R39" s="1"/>
  <c r="R40"/>
  <c r="D26"/>
  <c r="E26"/>
  <c r="F26"/>
  <c r="G26"/>
  <c r="H26"/>
  <c r="I26"/>
  <c r="J26"/>
  <c r="K26"/>
  <c r="L26"/>
  <c r="M26"/>
  <c r="D27"/>
  <c r="E27"/>
  <c r="F27"/>
  <c r="G27"/>
  <c r="H27"/>
  <c r="I27"/>
  <c r="J27"/>
  <c r="K27"/>
  <c r="L27"/>
  <c r="M27"/>
  <c r="D28"/>
  <c r="E28"/>
  <c r="F28"/>
  <c r="G28"/>
  <c r="H28"/>
  <c r="I28"/>
  <c r="J28"/>
  <c r="K28"/>
  <c r="L28"/>
  <c r="M28"/>
  <c r="C27"/>
  <c r="C28"/>
  <c r="C26"/>
  <c r="D20"/>
  <c r="E20"/>
  <c r="F20"/>
  <c r="G20"/>
  <c r="H20"/>
  <c r="I20"/>
  <c r="J20"/>
  <c r="K20"/>
  <c r="L20"/>
  <c r="M20"/>
  <c r="D21"/>
  <c r="E21"/>
  <c r="F21"/>
  <c r="G21"/>
  <c r="H21"/>
  <c r="I21"/>
  <c r="J21"/>
  <c r="K21"/>
  <c r="L21"/>
  <c r="M21"/>
  <c r="D22"/>
  <c r="E22"/>
  <c r="F22"/>
  <c r="G22"/>
  <c r="H22"/>
  <c r="I22"/>
  <c r="J22"/>
  <c r="K22"/>
  <c r="L22"/>
  <c r="M22"/>
  <c r="C21"/>
  <c r="C22"/>
  <c r="C20"/>
  <c r="W52" i="1"/>
  <c r="W57"/>
  <c r="W62"/>
  <c r="W67"/>
  <c r="W72"/>
  <c r="W49"/>
  <c r="W50"/>
  <c r="W51"/>
  <c r="W53"/>
  <c r="W54"/>
  <c r="W55"/>
  <c r="W56"/>
  <c r="W58"/>
  <c r="W59"/>
  <c r="W60"/>
  <c r="W61"/>
  <c r="W63"/>
  <c r="W64"/>
  <c r="W65"/>
  <c r="W66"/>
  <c r="W68"/>
  <c r="W69"/>
  <c r="W70"/>
  <c r="W71"/>
  <c r="W48"/>
  <c r="V48"/>
  <c r="V49"/>
  <c r="V50"/>
  <c r="V51"/>
  <c r="V53"/>
  <c r="V54"/>
  <c r="V55"/>
  <c r="V56"/>
  <c r="V58"/>
  <c r="V59"/>
  <c r="V60"/>
  <c r="V61"/>
  <c r="V63"/>
  <c r="V64"/>
  <c r="V65"/>
  <c r="V66"/>
  <c r="V68"/>
  <c r="V69"/>
  <c r="V70"/>
  <c r="V71"/>
  <c r="V47"/>
  <c r="U49"/>
  <c r="U50"/>
  <c r="U51"/>
  <c r="U53"/>
  <c r="U54"/>
  <c r="U55"/>
  <c r="U56"/>
  <c r="U58"/>
  <c r="U59"/>
  <c r="U60"/>
  <c r="U61"/>
  <c r="U63"/>
  <c r="U64"/>
  <c r="U65"/>
  <c r="U66"/>
  <c r="U68"/>
  <c r="U69"/>
  <c r="U70"/>
  <c r="U71"/>
  <c r="U47"/>
  <c r="U48"/>
  <c r="T49"/>
  <c r="T50"/>
  <c r="T51"/>
  <c r="T53"/>
  <c r="T54"/>
  <c r="T55"/>
  <c r="T56"/>
  <c r="T58"/>
  <c r="T59"/>
  <c r="T60"/>
  <c r="T61"/>
  <c r="T63"/>
  <c r="T64"/>
  <c r="T65"/>
  <c r="T66"/>
  <c r="T68"/>
  <c r="T69"/>
  <c r="T70"/>
  <c r="T71"/>
  <c r="S69"/>
  <c r="S70"/>
  <c r="S71"/>
  <c r="S48"/>
  <c r="S49"/>
  <c r="S50"/>
  <c r="S51"/>
  <c r="S53"/>
  <c r="S54"/>
  <c r="S55"/>
  <c r="S56"/>
  <c r="S58"/>
  <c r="S59"/>
  <c r="S60"/>
  <c r="S61"/>
  <c r="S63"/>
  <c r="S64"/>
  <c r="S65"/>
  <c r="S66"/>
  <c r="S68"/>
  <c r="S47"/>
  <c r="T48"/>
  <c r="U44" i="12" l="1"/>
  <c r="U36"/>
  <c r="U45"/>
  <c r="U37"/>
  <c r="U46"/>
  <c r="U38"/>
  <c r="U39"/>
  <c r="U40"/>
  <c r="U41"/>
  <c r="R41"/>
  <c r="R42"/>
  <c r="R43"/>
  <c r="R44"/>
  <c r="R36"/>
  <c r="R45"/>
  <c r="R37"/>
  <c r="R46"/>
  <c r="R38"/>
  <c r="D11" i="18" l="1"/>
  <c r="D12"/>
  <c r="D5"/>
  <c r="D45" i="11" l="1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42"/>
  <c r="E42"/>
  <c r="F42"/>
  <c r="G42"/>
  <c r="H42"/>
  <c r="D39"/>
  <c r="E39"/>
  <c r="F39"/>
  <c r="G39"/>
  <c r="H39"/>
  <c r="H51"/>
  <c r="G51"/>
  <c r="F51"/>
  <c r="E51"/>
  <c r="D51"/>
  <c r="H44"/>
  <c r="G44"/>
  <c r="F44"/>
  <c r="E44"/>
  <c r="D44"/>
  <c r="H41"/>
  <c r="G41"/>
  <c r="F41"/>
  <c r="E41"/>
  <c r="D41"/>
  <c r="H38"/>
  <c r="G38"/>
  <c r="F38"/>
  <c r="E38"/>
  <c r="D38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D29"/>
  <c r="E29"/>
  <c r="F29"/>
  <c r="G29"/>
  <c r="H29"/>
  <c r="D30"/>
  <c r="E30"/>
  <c r="F30"/>
  <c r="G30"/>
  <c r="H30"/>
  <c r="D31"/>
  <c r="E31"/>
  <c r="F31"/>
  <c r="G31"/>
  <c r="H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H21"/>
  <c r="G21"/>
  <c r="F21"/>
  <c r="E21"/>
  <c r="D21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D8"/>
  <c r="D9"/>
  <c r="D10"/>
  <c r="D11"/>
  <c r="D12"/>
  <c r="D13"/>
  <c r="D14"/>
  <c r="D15"/>
  <c r="D16"/>
  <c r="D17"/>
  <c r="D18"/>
  <c r="D19"/>
  <c r="D7"/>
  <c r="D53" i="16"/>
  <c r="F53"/>
  <c r="F45"/>
  <c r="D45"/>
  <c r="D37"/>
  <c r="F41"/>
  <c r="D41"/>
  <c r="F37"/>
  <c r="D19"/>
  <c r="C9" i="5"/>
  <c r="D8" i="18" l="1"/>
  <c r="D9"/>
  <c r="P36" i="12" l="1" a="1"/>
  <c r="P37" s="1"/>
  <c r="P44" l="1"/>
  <c r="P42"/>
  <c r="P40"/>
  <c r="P38"/>
  <c r="P36"/>
  <c r="P46"/>
  <c r="P45"/>
  <c r="P43"/>
  <c r="P41"/>
  <c r="P39"/>
  <c r="D10" i="18" l="1"/>
  <c r="D6"/>
  <c r="R27" i="12"/>
  <c r="P27"/>
  <c r="F16" i="9"/>
  <c r="F15"/>
  <c r="F14"/>
  <c r="F13"/>
  <c r="F12"/>
  <c r="F11"/>
  <c r="F10"/>
  <c r="F9"/>
  <c r="F8"/>
  <c r="F7"/>
  <c r="C53" i="5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8" i="9"/>
  <c r="D14"/>
  <c r="D15"/>
  <c r="E14" l="1"/>
  <c r="D16"/>
  <c r="D11"/>
  <c r="D10"/>
  <c r="E10"/>
  <c r="E13"/>
  <c r="D9"/>
  <c r="E12"/>
  <c r="D12"/>
  <c r="D13"/>
  <c r="E11"/>
  <c r="E15"/>
  <c r="Q36" i="12" a="1"/>
  <c r="Q42" s="1"/>
  <c r="S36" a="1"/>
  <c r="S44" s="1"/>
  <c r="E7" i="9"/>
  <c r="E8"/>
  <c r="E9"/>
  <c r="V36" i="12" a="1"/>
  <c r="V44" s="1"/>
  <c r="T36" a="1"/>
  <c r="T43" s="1"/>
  <c r="E16" i="9"/>
  <c r="T39" i="12" l="1"/>
  <c r="T38"/>
  <c r="T41"/>
  <c r="T46"/>
  <c r="T40"/>
  <c r="T36"/>
  <c r="V40"/>
  <c r="V46"/>
  <c r="V39"/>
  <c r="V38"/>
  <c r="V41"/>
  <c r="V37"/>
  <c r="Q38"/>
  <c r="Q41"/>
  <c r="Q39"/>
  <c r="Q37"/>
  <c r="Q43"/>
  <c r="Q46"/>
  <c r="Q36"/>
  <c r="Q44"/>
  <c r="Q45"/>
  <c r="Q40"/>
  <c r="S42"/>
  <c r="S40"/>
  <c r="S38"/>
  <c r="S37"/>
  <c r="S36"/>
  <c r="S45"/>
  <c r="S46"/>
  <c r="S43"/>
  <c r="S41"/>
  <c r="S39"/>
  <c r="V45"/>
  <c r="V42"/>
  <c r="V43"/>
  <c r="V36"/>
  <c r="T44"/>
  <c r="T37"/>
  <c r="T45"/>
  <c r="T42"/>
</calcChain>
</file>

<file path=xl/sharedStrings.xml><?xml version="1.0" encoding="utf-8"?>
<sst xmlns="http://schemas.openxmlformats.org/spreadsheetml/2006/main" count="2973" uniqueCount="595">
  <si>
    <t>LCF</t>
  </si>
  <si>
    <t>m</t>
  </si>
  <si>
    <t>LCB</t>
  </si>
  <si>
    <t>VCB</t>
  </si>
  <si>
    <t>KML</t>
  </si>
  <si>
    <t>KMT</t>
  </si>
  <si>
    <t>Hydrostatics</t>
  </si>
  <si>
    <t>Zero Trim (Specific Gravity = 1.025)</t>
  </si>
  <si>
    <t>Notes:</t>
  </si>
  <si>
    <t>T</t>
  </si>
  <si>
    <t>GM</t>
  </si>
  <si>
    <t>Beam</t>
  </si>
  <si>
    <t>C</t>
  </si>
  <si>
    <t>sec</t>
  </si>
  <si>
    <t>Tank</t>
  </si>
  <si>
    <t>(m)</t>
  </si>
  <si>
    <t>VCG</t>
  </si>
  <si>
    <t>Vertical Location</t>
  </si>
  <si>
    <t>Main Deck</t>
  </si>
  <si>
    <t>Tank Top</t>
  </si>
  <si>
    <t>Dk Height</t>
  </si>
  <si>
    <t>Fuel Tanks</t>
  </si>
  <si>
    <t>Oil Tanks</t>
  </si>
  <si>
    <t>Potable Water</t>
  </si>
  <si>
    <t>Stability Tank</t>
  </si>
  <si>
    <t>Disp. &amp; VCG Before Filling Tank</t>
  </si>
  <si>
    <t>INCIN.P</t>
  </si>
  <si>
    <t>Added Tankage</t>
  </si>
  <si>
    <t>Disp. &amp; VCG Before Adding Weight</t>
  </si>
  <si>
    <t>Height of</t>
  </si>
  <si>
    <t>Wt Added</t>
  </si>
  <si>
    <t>Vertical</t>
  </si>
  <si>
    <t>Aft</t>
  </si>
  <si>
    <t>Frame</t>
  </si>
  <si>
    <t>fwd</t>
  </si>
  <si>
    <t>aft</t>
  </si>
  <si>
    <t>Fwd</t>
  </si>
  <si>
    <t>Initial Drafts</t>
  </si>
  <si>
    <t>New Drafts</t>
  </si>
  <si>
    <t>Location</t>
  </si>
  <si>
    <t>Compartment</t>
  </si>
  <si>
    <t>Weight</t>
  </si>
  <si>
    <t>LCG</t>
  </si>
  <si>
    <t>TCG</t>
  </si>
  <si>
    <t>Trim</t>
  </si>
  <si>
    <t>Fuel Oil</t>
  </si>
  <si>
    <t>Mission Load</t>
  </si>
  <si>
    <t>Ballast Tanks</t>
  </si>
  <si>
    <t>Waste Tanks</t>
  </si>
  <si>
    <t>Potable Water Tanks</t>
  </si>
  <si>
    <t>FSM</t>
  </si>
  <si>
    <t>Volume</t>
  </si>
  <si>
    <t>Max</t>
  </si>
  <si>
    <t>SG</t>
  </si>
  <si>
    <t>Specific</t>
  </si>
  <si>
    <t>Gravity</t>
  </si>
  <si>
    <t>Total Oil Tankage</t>
  </si>
  <si>
    <t>Total Fuel Tankage</t>
  </si>
  <si>
    <t>Total Ballast Tankage</t>
  </si>
  <si>
    <t>Total Waste Tankage</t>
  </si>
  <si>
    <t>Total Potable Water</t>
  </si>
  <si>
    <t>Item</t>
  </si>
  <si>
    <t>Moment</t>
  </si>
  <si>
    <t>Lever</t>
  </si>
  <si>
    <t>On</t>
  </si>
  <si>
    <t>Board</t>
  </si>
  <si>
    <t>Total Mission Load</t>
  </si>
  <si>
    <t>Typical Mission Loads</t>
  </si>
  <si>
    <t>Mission Load Worksheet</t>
  </si>
  <si>
    <t>Molded</t>
  </si>
  <si>
    <t>Required</t>
  </si>
  <si>
    <t>Displ.</t>
  </si>
  <si>
    <t>SW Ballast</t>
  </si>
  <si>
    <t>Lube Oil</t>
  </si>
  <si>
    <t>Sewage</t>
  </si>
  <si>
    <t>Liquid</t>
  </si>
  <si>
    <t>Type</t>
  </si>
  <si>
    <t>Fuel Oil Storage</t>
  </si>
  <si>
    <t>FO Service Tanks</t>
  </si>
  <si>
    <t>FW (P/S)</t>
  </si>
  <si>
    <t>Remarks</t>
  </si>
  <si>
    <t>Min. FSM</t>
  </si>
  <si>
    <t>lever</t>
  </si>
  <si>
    <t>moment</t>
  </si>
  <si>
    <t>Total All Tanks</t>
  </si>
  <si>
    <t>Tank Load Worksheet</t>
  </si>
  <si>
    <t>-</t>
  </si>
  <si>
    <t>Y/N</t>
  </si>
  <si>
    <t>Anti-Roll Tank</t>
  </si>
  <si>
    <t>(SG)</t>
  </si>
  <si>
    <t>+ Correction</t>
  </si>
  <si>
    <t>% Full</t>
  </si>
  <si>
    <t>Dry Stores</t>
  </si>
  <si>
    <t>Max Ref.</t>
  </si>
  <si>
    <t>Tanks Condition:</t>
  </si>
  <si>
    <t>Icing Condition:</t>
  </si>
  <si>
    <t>TOTAL DEADWEIGHT</t>
  </si>
  <si>
    <t>LIGHTSHIP</t>
  </si>
  <si>
    <t>TOTAL DISPLACEMENT</t>
  </si>
  <si>
    <t>(DISPL)</t>
  </si>
  <si>
    <t>Mean Molded Salt Water Draft</t>
  </si>
  <si>
    <t>(Tm)</t>
  </si>
  <si>
    <t>Longitudinal Center of Buoyancy</t>
  </si>
  <si>
    <t>(LCB)</t>
  </si>
  <si>
    <t>Trimming Lever</t>
  </si>
  <si>
    <t>(TL)</t>
  </si>
  <si>
    <t>Longitudinal Metacentric Height</t>
  </si>
  <si>
    <t>(KML)</t>
  </si>
  <si>
    <t>Length Between Perpendiculars</t>
  </si>
  <si>
    <t>(LBP)</t>
  </si>
  <si>
    <t>Trim (+ trim aft)</t>
  </si>
  <si>
    <t>(TRIM)</t>
  </si>
  <si>
    <t>Longitudinal Center of Flotation</t>
  </si>
  <si>
    <t>(LCF)</t>
  </si>
  <si>
    <t>Molded Draft at FP</t>
  </si>
  <si>
    <t>Molded Draft at AP</t>
  </si>
  <si>
    <t>Stability</t>
  </si>
  <si>
    <t>Free Surface Correction</t>
  </si>
  <si>
    <t>Heel</t>
  </si>
  <si>
    <t>Transverse KM</t>
  </si>
  <si>
    <t>(GMavail)</t>
  </si>
  <si>
    <t>Moment to alter Heel 1º</t>
  </si>
  <si>
    <t>(MH1)</t>
  </si>
  <si>
    <t>deg</t>
  </si>
  <si>
    <t>Observed Drafts</t>
  </si>
  <si>
    <t>Port:</t>
  </si>
  <si>
    <t>Stbd:</t>
  </si>
  <si>
    <t>Voyage:</t>
  </si>
  <si>
    <t xml:space="preserve"> =  Total Weight</t>
  </si>
  <si>
    <t xml:space="preserve"> =  Total FSM / DISPL</t>
  </si>
  <si>
    <t>Total Displacement</t>
  </si>
  <si>
    <t>Tank Load</t>
  </si>
  <si>
    <t>Icing Load</t>
  </si>
  <si>
    <t>Total Free Surface Moment</t>
  </si>
  <si>
    <t>(FSM)</t>
  </si>
  <si>
    <t xml:space="preserve"> =  Total FSM</t>
  </si>
  <si>
    <t>(KMT)</t>
  </si>
  <si>
    <t>(HEEL)</t>
  </si>
  <si>
    <t>Draft at FWD Marks (FR 5)</t>
  </si>
  <si>
    <t>Draft (Tm)</t>
  </si>
  <si>
    <t>Vmom</t>
  </si>
  <si>
    <t>Lmom</t>
  </si>
  <si>
    <t>Tmom</t>
  </si>
  <si>
    <t>(TFP)</t>
  </si>
  <si>
    <t>(TAP)</t>
  </si>
  <si>
    <t>(TFM)</t>
  </si>
  <si>
    <t>(TAM)</t>
  </si>
  <si>
    <t xml:space="preserve"> =  Tm - (TRIM / LBP * LCF )</t>
  </si>
  <si>
    <t xml:space="preserve"> =  TFP + TRIM</t>
  </si>
  <si>
    <t>GM Available</t>
  </si>
  <si>
    <t xml:space="preserve"> =  Total Tmom / MH1</t>
  </si>
  <si>
    <t>(FSC)</t>
  </si>
  <si>
    <t>Mission Condition:</t>
  </si>
  <si>
    <t>Summary Load Worksheet</t>
  </si>
  <si>
    <t>02 Level</t>
  </si>
  <si>
    <t>01 Level</t>
  </si>
  <si>
    <t>DC Locker</t>
  </si>
  <si>
    <t>Space</t>
  </si>
  <si>
    <t>No.</t>
  </si>
  <si>
    <t>Frames</t>
  </si>
  <si>
    <t>General Stores</t>
  </si>
  <si>
    <t>2-7-0</t>
  </si>
  <si>
    <t>2-7-1</t>
  </si>
  <si>
    <t>7 - 11</t>
  </si>
  <si>
    <t>1-38-2</t>
  </si>
  <si>
    <t>1-7-1</t>
  </si>
  <si>
    <t>Slope of Waterline</t>
  </si>
  <si>
    <t>Midship Draft</t>
  </si>
  <si>
    <t>Distance between Midship and LCF</t>
  </si>
  <si>
    <t>Draft at LCF</t>
  </si>
  <si>
    <t xml:space="preserve"> =  TAP - TFP</t>
  </si>
  <si>
    <t>(TMID)</t>
  </si>
  <si>
    <t xml:space="preserve"> =  ( TFP + TAP ) / 2</t>
  </si>
  <si>
    <t>(d)</t>
  </si>
  <si>
    <t>(TLCF)</t>
  </si>
  <si>
    <t>TFP:</t>
  </si>
  <si>
    <t>FO Day (P/S), EMG Day, Incinerator</t>
  </si>
  <si>
    <t>none</t>
  </si>
  <si>
    <t>Designation</t>
  </si>
  <si>
    <t>T = C B / sqrt GM</t>
  </si>
  <si>
    <t>from GM_TANK.OUT</t>
  </si>
  <si>
    <t>Engineer's Workshop</t>
  </si>
  <si>
    <t>Deck Locker</t>
  </si>
  <si>
    <t>fwd dr</t>
  </si>
  <si>
    <t>aft dr</t>
  </si>
  <si>
    <t>drafts from TrimTbl.out</t>
  </si>
  <si>
    <t>Fwd Correction =</t>
  </si>
  <si>
    <t>Aft Correction =</t>
  </si>
  <si>
    <t>Y</t>
  </si>
  <si>
    <t>Arrival</t>
  </si>
  <si>
    <t>SV</t>
  </si>
  <si>
    <t xml:space="preserve"> =  LCG - LCB (+ aft)</t>
  </si>
  <si>
    <t xml:space="preserve"> =  TMID + d x m</t>
  </si>
  <si>
    <t>Ballast</t>
  </si>
  <si>
    <t>Fresh Water</t>
  </si>
  <si>
    <t>(LT)</t>
  </si>
  <si>
    <t>(ft aft FP)</t>
  </si>
  <si>
    <t>(ft stbd CL)</t>
  </si>
  <si>
    <t>(ft abv BL)</t>
  </si>
  <si>
    <t>4-30-1</t>
  </si>
  <si>
    <t>4-30-2</t>
  </si>
  <si>
    <t>4-40-0</t>
  </si>
  <si>
    <t>4-58-1</t>
  </si>
  <si>
    <t>4-58-2</t>
  </si>
  <si>
    <t>4-67-1</t>
  </si>
  <si>
    <t>4-67-2</t>
  </si>
  <si>
    <t>4-76-1</t>
  </si>
  <si>
    <t>4-76-2</t>
  </si>
  <si>
    <t>4-85-1</t>
  </si>
  <si>
    <t>4-85-2</t>
  </si>
  <si>
    <t>4-94-2</t>
  </si>
  <si>
    <t>4-94-1</t>
  </si>
  <si>
    <t>3-21-2</t>
  </si>
  <si>
    <t>3-21-3</t>
  </si>
  <si>
    <t>Ballast 4-30-1</t>
  </si>
  <si>
    <t>Ballast 4-30-2</t>
  </si>
  <si>
    <t>Ballast 4-40-0</t>
  </si>
  <si>
    <t>Ballast 4-58-1</t>
  </si>
  <si>
    <t>Ballast 4-58-2</t>
  </si>
  <si>
    <t>Ballast 4-67-2</t>
  </si>
  <si>
    <t>Ballast 4-67-1</t>
  </si>
  <si>
    <t>Ballast 4-76-2</t>
  </si>
  <si>
    <t>Ballast 4-76-1</t>
  </si>
  <si>
    <t>Ballast 4-85-1</t>
  </si>
  <si>
    <t>Ballast 4-85-2</t>
  </si>
  <si>
    <t>Ballast 4-94-1</t>
  </si>
  <si>
    <t>Ballast 4-94-2</t>
  </si>
  <si>
    <t>3-36-6</t>
  </si>
  <si>
    <t>3-37-3</t>
  </si>
  <si>
    <t>3-30-1</t>
  </si>
  <si>
    <t>3-30-2</t>
  </si>
  <si>
    <t>3-35-1</t>
  </si>
  <si>
    <t>3-67-1</t>
  </si>
  <si>
    <t>3-67-2</t>
  </si>
  <si>
    <t>3-76-0</t>
  </si>
  <si>
    <t>3-76-4</t>
  </si>
  <si>
    <t>3-85-1</t>
  </si>
  <si>
    <t>3-85-2</t>
  </si>
  <si>
    <t>3-67-01</t>
  </si>
  <si>
    <t>Fuel Oil Day Port</t>
  </si>
  <si>
    <t>Fuel Oil Day Stbd</t>
  </si>
  <si>
    <t>Potable Water Port</t>
  </si>
  <si>
    <t>Potable Water Stbd</t>
  </si>
  <si>
    <t>Incinerator Fuel Oil</t>
  </si>
  <si>
    <t>Emg. Gen. Fuel Oil</t>
  </si>
  <si>
    <t>3-36-4</t>
  </si>
  <si>
    <t>3-103-2</t>
  </si>
  <si>
    <t>3-36-2</t>
  </si>
  <si>
    <t>3-94-1</t>
  </si>
  <si>
    <t>3-21-0</t>
  </si>
  <si>
    <t>3-24-0</t>
  </si>
  <si>
    <t>3-37-1</t>
  </si>
  <si>
    <t>Fuel Oil Overflow</t>
  </si>
  <si>
    <t>3-76-2</t>
  </si>
  <si>
    <t>3-76-1</t>
  </si>
  <si>
    <t>3-85-0</t>
  </si>
  <si>
    <t>Thrust Lube Oil</t>
  </si>
  <si>
    <t>Waste Oil</t>
  </si>
  <si>
    <t>Thrust Dirty Oil</t>
  </si>
  <si>
    <t>Holding Tank</t>
  </si>
  <si>
    <t>Sewage Tank</t>
  </si>
  <si>
    <t>Oily Water</t>
  </si>
  <si>
    <t>ft</t>
  </si>
  <si>
    <t>Principles of Naval Architecture</t>
  </si>
  <si>
    <t>Salt Water Ballast</t>
  </si>
  <si>
    <t>(Gallons)</t>
  </si>
  <si>
    <t>(LT-ft)</t>
  </si>
  <si>
    <t>Fuel Oil Day</t>
  </si>
  <si>
    <t>Emergency Generator Fuel Oil</t>
  </si>
  <si>
    <t>Thrust Lube Oil Storage</t>
  </si>
  <si>
    <t>Anti Roll Tank</t>
  </si>
  <si>
    <t>Other Tank</t>
  </si>
  <si>
    <t>Jacket Water Holding Tank</t>
  </si>
  <si>
    <t>4-63-2</t>
  </si>
  <si>
    <t>Ballast Tanks are 100% Full</t>
  </si>
  <si>
    <t>Fuel Tanks are 95% Full</t>
  </si>
  <si>
    <t>Potable Water are 100% Full</t>
  </si>
  <si>
    <t>Lube Oil Tanks are 95% Full</t>
  </si>
  <si>
    <t>Waste Tanks are 100% Full</t>
  </si>
  <si>
    <t>Stability Tank is 70% Full</t>
  </si>
  <si>
    <t>JW Holding is 100% Full</t>
  </si>
  <si>
    <t>Incinerator Sluge Tank</t>
  </si>
  <si>
    <t>SWB4-30-1</t>
  </si>
  <si>
    <t>SWB4-30-2</t>
  </si>
  <si>
    <t>SWB4-40-0</t>
  </si>
  <si>
    <t>SWB4-58-1</t>
  </si>
  <si>
    <t>SWB4-58-2</t>
  </si>
  <si>
    <t>SWB4-67-1</t>
  </si>
  <si>
    <t>SWB4-67-2</t>
  </si>
  <si>
    <t>SWB4-76-1</t>
  </si>
  <si>
    <t>SWB4-76-2</t>
  </si>
  <si>
    <t>SWB4-85-1</t>
  </si>
  <si>
    <t>SWB4-85-2</t>
  </si>
  <si>
    <t>SWB4-94-1</t>
  </si>
  <si>
    <t>SWB4-94-2</t>
  </si>
  <si>
    <t>FO3-30-1</t>
  </si>
  <si>
    <t>FO3-30-2</t>
  </si>
  <si>
    <t>FO3-67-1</t>
  </si>
  <si>
    <t>FO3-67-2</t>
  </si>
  <si>
    <t>FO3-76-0</t>
  </si>
  <si>
    <t>FO3-76-1</t>
  </si>
  <si>
    <t>FO3-76-4</t>
  </si>
  <si>
    <t>FO3-85-0</t>
  </si>
  <si>
    <t>FO3-85-1</t>
  </si>
  <si>
    <t>FO3-85-2</t>
  </si>
  <si>
    <t>FODAY.P</t>
  </si>
  <si>
    <t>FODAY.S</t>
  </si>
  <si>
    <t>FO_OVRFLW.S</t>
  </si>
  <si>
    <t>FOO3-76-2</t>
  </si>
  <si>
    <t>FO01_EDG.P</t>
  </si>
  <si>
    <t>FW3-21-2</t>
  </si>
  <si>
    <t>FW3-21-3</t>
  </si>
  <si>
    <t>LO3-36-4</t>
  </si>
  <si>
    <t>LO3-103-2</t>
  </si>
  <si>
    <t>OW.S</t>
  </si>
  <si>
    <t>WO3-36-2</t>
  </si>
  <si>
    <t>WO3-94-1</t>
  </si>
  <si>
    <t>HLDG.C</t>
  </si>
  <si>
    <t>SEWAGE.C</t>
  </si>
  <si>
    <t>INCINSLDG.P</t>
  </si>
  <si>
    <t>ANTIROLLTK.C</t>
  </si>
  <si>
    <t>JWHOLD</t>
  </si>
  <si>
    <t>(ft)</t>
  </si>
  <si>
    <t>GM Change (ft)</t>
  </si>
  <si>
    <t>(gallons/LT)</t>
  </si>
  <si>
    <t>Anti Roll</t>
  </si>
  <si>
    <t>FO 3-85-0, FO Overflow P/S</t>
  </si>
  <si>
    <t>LO, Thrust LO</t>
  </si>
  <si>
    <t>Oily Water, Waste Oil, Thrust Dirty Oil, Holding, Sewage, Incinerator Sludge</t>
  </si>
  <si>
    <t xml:space="preserve">Total </t>
  </si>
  <si>
    <t>Other</t>
  </si>
  <si>
    <t>(LT/in)</t>
  </si>
  <si>
    <t>(LT-ft/in)</t>
  </si>
  <si>
    <t>MTI</t>
  </si>
  <si>
    <t>ft from FP</t>
  </si>
  <si>
    <t>mid dr</t>
  </si>
  <si>
    <t>Mid</t>
  </si>
  <si>
    <t>Initial Draft 19.4 ft (VCG 21.25 ft)</t>
  </si>
  <si>
    <t>Initial Draft 18 ft (VCG 20.75 ft)</t>
  </si>
  <si>
    <t>FRAME 71</t>
  </si>
  <si>
    <t>(15 LT / 10LT) x (0.020) = 0.03</t>
  </si>
  <si>
    <t>(15 LT / 10 LT) x (0.050) = 0.75</t>
  </si>
  <si>
    <t>Mid Correction =</t>
  </si>
  <si>
    <t>(15 LT / 10 LT) x (0.030) = 0.45</t>
  </si>
  <si>
    <t>Second Platform</t>
  </si>
  <si>
    <t>First Platform</t>
  </si>
  <si>
    <t>Engineer's Stores</t>
  </si>
  <si>
    <t>Ship's Frozen Stores</t>
  </si>
  <si>
    <t>Science Hold</t>
  </si>
  <si>
    <t>Bosun's Workshop/Stores</t>
  </si>
  <si>
    <t>Science Stores</t>
  </si>
  <si>
    <t>Tech Stores</t>
  </si>
  <si>
    <t>Ship Chill Stores</t>
  </si>
  <si>
    <t>Main Lab</t>
  </si>
  <si>
    <t>Electronics/Comp Lab</t>
  </si>
  <si>
    <t>Analytical Lab</t>
  </si>
  <si>
    <t>Wet Lab</t>
  </si>
  <si>
    <t>Science Freezer</t>
  </si>
  <si>
    <t>Baltic Room</t>
  </si>
  <si>
    <t>Deck Gear Locker</t>
  </si>
  <si>
    <t>Chem/FLMB Locker</t>
  </si>
  <si>
    <t>Boat GR Locker</t>
  </si>
  <si>
    <t>03 Level</t>
  </si>
  <si>
    <t>Upper Lab</t>
  </si>
  <si>
    <t>3-30-01</t>
  </si>
  <si>
    <t>2-7-2</t>
  </si>
  <si>
    <t>2-21-2</t>
  </si>
  <si>
    <t>2-25-1</t>
  </si>
  <si>
    <t>2-30-3</t>
  </si>
  <si>
    <t>2-30-4</t>
  </si>
  <si>
    <t>2-35-1</t>
  </si>
  <si>
    <t>2-67-0</t>
  </si>
  <si>
    <t>2-76-2</t>
  </si>
  <si>
    <t>1-(-5)-0</t>
  </si>
  <si>
    <t>1-12-2</t>
  </si>
  <si>
    <t>Electronic Workshop</t>
  </si>
  <si>
    <t>1-12-1</t>
  </si>
  <si>
    <t>1-21-1</t>
  </si>
  <si>
    <t>1-25-2</t>
  </si>
  <si>
    <t>1-44-1</t>
  </si>
  <si>
    <t>1-44-4</t>
  </si>
  <si>
    <t>1-47-2</t>
  </si>
  <si>
    <t>1-56-1</t>
  </si>
  <si>
    <t>Locker</t>
  </si>
  <si>
    <t>1-64-2</t>
  </si>
  <si>
    <t>1-75-2</t>
  </si>
  <si>
    <t>1-82-2</t>
  </si>
  <si>
    <t>02-61-1</t>
  </si>
  <si>
    <t>01-56-2</t>
  </si>
  <si>
    <t>03-32-2</t>
  </si>
  <si>
    <t>03-44-2</t>
  </si>
  <si>
    <t>30 - 40</t>
  </si>
  <si>
    <t>7 - 21</t>
  </si>
  <si>
    <t>21 - 25</t>
  </si>
  <si>
    <t>25 - 30</t>
  </si>
  <si>
    <t>30 - 35</t>
  </si>
  <si>
    <t>35 - 40</t>
  </si>
  <si>
    <t>67 - 76</t>
  </si>
  <si>
    <t>76 - 85</t>
  </si>
  <si>
    <t>-5 - 7</t>
  </si>
  <si>
    <t>7 - 12</t>
  </si>
  <si>
    <t>12 - 21</t>
  </si>
  <si>
    <t>21 - 44</t>
  </si>
  <si>
    <t xml:space="preserve">25 - 38 </t>
  </si>
  <si>
    <t>38 - 44</t>
  </si>
  <si>
    <t>44 - 56</t>
  </si>
  <si>
    <t>44 - 47</t>
  </si>
  <si>
    <t>47 - 52</t>
  </si>
  <si>
    <t>56 - 70</t>
  </si>
  <si>
    <t>64 - 67</t>
  </si>
  <si>
    <t>75 - 82</t>
  </si>
  <si>
    <t>82 - 86</t>
  </si>
  <si>
    <t>56 - 64</t>
  </si>
  <si>
    <t>61 - 64</t>
  </si>
  <si>
    <t>32 - 44</t>
  </si>
  <si>
    <t>44 - 50</t>
  </si>
  <si>
    <t>(ft Abv BL)</t>
  </si>
  <si>
    <t>(ft Aft FP)</t>
  </si>
  <si>
    <t>(ft Stbd CL)</t>
  </si>
  <si>
    <t>MMR Grating</t>
  </si>
  <si>
    <t>05 Level (Top of Pilot House)</t>
  </si>
  <si>
    <t>04 Level (Bridge Deck)</t>
  </si>
  <si>
    <t>1st Platform</t>
  </si>
  <si>
    <t>Bow Thruster Grating</t>
  </si>
  <si>
    <t>2nd Platform</t>
  </si>
  <si>
    <t>LT</t>
  </si>
  <si>
    <t>LT-ft</t>
  </si>
  <si>
    <t>ft             (average) T2:</t>
  </si>
  <si>
    <t xml:space="preserve">ft              (average) T1:             </t>
  </si>
  <si>
    <t>Draft at Midship Marks (Fr 61)</t>
  </si>
  <si>
    <t>Draft at Forward Marks (Fr 7)</t>
  </si>
  <si>
    <t>Draft at Aft Marks (Fr 108)</t>
  </si>
  <si>
    <t>Draft at AFT Marks  (FR 108)</t>
  </si>
  <si>
    <t xml:space="preserve"> =  (KML - VCG) * DISPL / LBP / 12</t>
  </si>
  <si>
    <t xml:space="preserve"> =  Tm - ( TRIM / LBP * ( LCF - 14 ) )</t>
  </si>
  <si>
    <t>(TMM)</t>
  </si>
  <si>
    <t xml:space="preserve"> =  Tm - ( TRIM / LBP * ( LCF - 122 ) )</t>
  </si>
  <si>
    <t>Heel (+ heel to stbd)</t>
  </si>
  <si>
    <t xml:space="preserve"> = 0.01745  GMavail * DISPL</t>
  </si>
  <si>
    <r>
      <t xml:space="preserve"> =  ( T</t>
    </r>
    <r>
      <rPr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- T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 ) / 202</t>
    </r>
  </si>
  <si>
    <t xml:space="preserve"> = LCF - 119.96</t>
  </si>
  <si>
    <t>Personnel &amp; Effects</t>
  </si>
  <si>
    <t>Freezer Stores</t>
  </si>
  <si>
    <t>Chill Stores</t>
  </si>
  <si>
    <t>Chem Stores</t>
  </si>
  <si>
    <t>Science Gear on Main Deck</t>
  </si>
  <si>
    <t>Science Gear on 04 Deck</t>
  </si>
  <si>
    <t>Electricians Workshop</t>
  </si>
  <si>
    <t>Electronics Workshop</t>
  </si>
  <si>
    <t>────────►</t>
  </si>
  <si>
    <t>─────────</t>
  </si>
  <si>
    <t>───────────────This portion does not print────────────────</t>
  </si>
  <si>
    <t>◄──────</t>
  </si>
  <si>
    <r>
      <t>Draft at FP = m * 216 + T</t>
    </r>
    <r>
      <rPr>
        <vertAlign val="subscript"/>
        <sz val="12"/>
        <color indexed="8"/>
        <rFont val="Times New Roman"/>
        <family val="1"/>
      </rPr>
      <t>1</t>
    </r>
  </si>
  <si>
    <t>Horizontal Ice Load</t>
  </si>
  <si>
    <t>Vertical Ice Load</t>
  </si>
  <si>
    <r>
      <t>lb/ft</t>
    </r>
    <r>
      <rPr>
        <vertAlign val="superscript"/>
        <sz val="10"/>
        <rFont val="Times New Roman"/>
        <family val="1"/>
      </rPr>
      <t>2</t>
    </r>
  </si>
  <si>
    <t>Position</t>
  </si>
  <si>
    <t>Horizontal</t>
  </si>
  <si>
    <t>Subtotal</t>
  </si>
  <si>
    <t>15% Rail &amp; Rigging Allowance</t>
  </si>
  <si>
    <t>TOTAL ICE LOAD</t>
  </si>
  <si>
    <t xml:space="preserve">Area </t>
  </si>
  <si>
    <r>
      <t>(ft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</si>
  <si>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t>Moment to alter trim 1 inch</t>
  </si>
  <si>
    <t>(MT1)</t>
  </si>
  <si>
    <t xml:space="preserve"> =  (DISPL * TL) / (12 * MT1)</t>
  </si>
  <si>
    <t xml:space="preserve"> =  Tm - ( TRIM / LBP * ( LCF - 216 ) )</t>
  </si>
  <si>
    <t>GMt</t>
  </si>
  <si>
    <t xml:space="preserve">Lower Draft </t>
  </si>
  <si>
    <t>Upper draft</t>
  </si>
  <si>
    <t>Lower VCG</t>
  </si>
  <si>
    <t>Upper VCG</t>
  </si>
  <si>
    <t>Interpolated</t>
  </si>
  <si>
    <t>Draft</t>
  </si>
  <si>
    <t>GMT Req</t>
  </si>
  <si>
    <t>Min GM Curve Data</t>
  </si>
  <si>
    <t>Disp.</t>
  </si>
  <si>
    <t>Fuel</t>
  </si>
  <si>
    <t>Mission</t>
  </si>
  <si>
    <t>Load Case</t>
  </si>
  <si>
    <t>Corr.</t>
  </si>
  <si>
    <t>Oil</t>
  </si>
  <si>
    <t>Load</t>
  </si>
  <si>
    <t>(deg)</t>
  </si>
  <si>
    <t>Departure</t>
  </si>
  <si>
    <t>Mid Voyage</t>
  </si>
  <si>
    <t xml:space="preserve">Departure + Ice </t>
  </si>
  <si>
    <t xml:space="preserve">Mid Voyage + Ice </t>
  </si>
  <si>
    <t>Arrival + Ice</t>
  </si>
  <si>
    <r>
      <t xml:space="preserve">          Draft at AP = m * 23.92 + T</t>
    </r>
    <r>
      <rPr>
        <vertAlign val="subscript"/>
        <sz val="12"/>
        <color indexed="8"/>
        <rFont val="Times New Roman"/>
        <family val="1"/>
      </rPr>
      <t xml:space="preserve">1     </t>
    </r>
    <r>
      <rPr>
        <sz val="12"/>
        <color indexed="8"/>
        <rFont val="Times New Roman"/>
        <family val="1"/>
      </rPr>
      <t xml:space="preserve">  TAP:</t>
    </r>
  </si>
  <si>
    <t>Ice Thickness</t>
  </si>
  <si>
    <t>(in)</t>
  </si>
  <si>
    <t>ICE 1</t>
  </si>
  <si>
    <t>ICE 2</t>
  </si>
  <si>
    <t xml:space="preserve">Draft </t>
  </si>
  <si>
    <t>No Ice</t>
  </si>
  <si>
    <t>Horizontal (in)</t>
  </si>
  <si>
    <t>Vertical (in)</t>
  </si>
  <si>
    <t>Lightship</t>
  </si>
  <si>
    <t>Departure with Ice</t>
  </si>
  <si>
    <t>Mid Voyage with Ice</t>
  </si>
  <si>
    <t>Arrival with Ice</t>
  </si>
  <si>
    <t>Lightship/Blank</t>
  </si>
  <si>
    <t>4-58-0</t>
  </si>
  <si>
    <t>Climate Control Chamber</t>
  </si>
  <si>
    <t>Auxiliary Machinery Room</t>
  </si>
  <si>
    <t>Electrician's Workshop</t>
  </si>
  <si>
    <t>Capacity</t>
  </si>
  <si>
    <r>
      <t>(ft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</si>
  <si>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Storage Reel Wire, 9/16 3 x 19</t>
  </si>
  <si>
    <t>Storage Reel Wire, 0.680 EM</t>
  </si>
  <si>
    <t>CTD Winch Wire, 3/8 3 x 19</t>
  </si>
  <si>
    <t>Hydro Winch Wire, 3/8 3 x 19</t>
  </si>
  <si>
    <t>N</t>
  </si>
  <si>
    <t>MT1 based on length between perpendiculars = 239.92 ft, assuming VCG = 0</t>
  </si>
  <si>
    <t>76.82 LT of Ice</t>
  </si>
  <si>
    <t>20% Fuel, 90% Ballast, 90% Waste</t>
  </si>
  <si>
    <t>01-68-2</t>
  </si>
  <si>
    <t>01-76-2</t>
  </si>
  <si>
    <t>01-64-4</t>
  </si>
  <si>
    <t xml:space="preserve"> = KMT - KGavail</t>
  </si>
  <si>
    <t>KG Available</t>
  </si>
  <si>
    <t>= VCG - FSC</t>
  </si>
  <si>
    <t>KG Required</t>
  </si>
  <si>
    <t>= Interpolated from Required KG Curve</t>
  </si>
  <si>
    <t>KG Margin</t>
  </si>
  <si>
    <t>= KGavail - KGReq</t>
  </si>
  <si>
    <t>(KGavail)</t>
  </si>
  <si>
    <t>KG</t>
  </si>
  <si>
    <t>NO BALLAST</t>
  </si>
  <si>
    <t>95% Fuel, 42% Ballast Water, 10% Waste</t>
  </si>
  <si>
    <t>50% Fuel, 69% Ballast Water, 50% Waste</t>
  </si>
  <si>
    <t>Long'l Location</t>
  </si>
  <si>
    <t>Trans. Location</t>
  </si>
  <si>
    <t>Sketch</t>
  </si>
  <si>
    <t>Note</t>
  </si>
  <si>
    <t>4-30-1/4-30-2</t>
  </si>
  <si>
    <t>3-30-1/3-30-2</t>
  </si>
  <si>
    <t>4-58-1/4-58-2</t>
  </si>
  <si>
    <t>4-67-1/4-67-2</t>
  </si>
  <si>
    <t>4-76-1/4-76-2</t>
  </si>
  <si>
    <t>3-78-1/3-78-4</t>
  </si>
  <si>
    <t>4-85-1/4-85-2</t>
  </si>
  <si>
    <t>4-94-1/4-94-2</t>
  </si>
  <si>
    <t>13'-6" off CL Stbd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</si>
  <si>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</si>
  <si>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</si>
  <si>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</si>
  <si>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</si>
  <si>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</si>
  <si>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</si>
  <si>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</si>
  <si>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</si>
  <si>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</si>
  <si>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</si>
  <si>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16'-8" off CL Stbd</t>
  </si>
  <si>
    <t>1'-2" off CL Port</t>
  </si>
  <si>
    <t>5'-11" off CL Port</t>
  </si>
  <si>
    <t>FR 30</t>
  </si>
  <si>
    <t>FR 29</t>
  </si>
  <si>
    <t>FR 62</t>
  </si>
  <si>
    <t>FR 79</t>
  </si>
  <si>
    <t>FR 81</t>
  </si>
  <si>
    <t>FR 81.5</t>
  </si>
  <si>
    <t>Bottom</t>
  </si>
  <si>
    <t>Middle</t>
  </si>
  <si>
    <t>Top</t>
  </si>
  <si>
    <t>Sheet 12</t>
  </si>
  <si>
    <t>Sheet 13</t>
  </si>
  <si>
    <t>Sheet 11</t>
  </si>
  <si>
    <t>Contents</t>
  </si>
  <si>
    <t>Ballast Water</t>
  </si>
  <si>
    <t>Main Lab (1-21-1)</t>
  </si>
  <si>
    <t>Baltic Room (1-56-1)</t>
  </si>
  <si>
    <t>Deck Gear Locker (1-75-2)</t>
  </si>
  <si>
    <t>SWB 4-67-1, SWB 4-67-2</t>
  </si>
  <si>
    <t>Thruster Motor Flat</t>
  </si>
  <si>
    <t>Bosun's Workshop</t>
  </si>
  <si>
    <t>Bosun's Stores</t>
  </si>
  <si>
    <t>100.0 LT of Mission Load, 100% Stores</t>
  </si>
  <si>
    <t>100.0 LT of Mission Load, 50% Stores</t>
  </si>
  <si>
    <t>100.0 LT of Mission Load, 10% Stores</t>
  </si>
  <si>
    <t xml:space="preserve"> =  From Hydrostatics Table (Sheet 22)</t>
  </si>
  <si>
    <t xml:space="preserve"> =  From Hydrostatics Table (Sheets 22)</t>
  </si>
  <si>
    <t>Displacement at TLCF from Hydrostatics (Sheets 22)</t>
  </si>
  <si>
    <t>(KGallow)</t>
  </si>
  <si>
    <t>50% USCG Ice Load</t>
  </si>
  <si>
    <t>100% USCG Ice Load</t>
  </si>
  <si>
    <t>3-67-1/3-67-4</t>
  </si>
  <si>
    <t>3-85-1/3-85-2</t>
  </si>
  <si>
    <t>TPI</t>
  </si>
  <si>
    <t>Deck Gear Locker FWD</t>
  </si>
  <si>
    <t>Deck Gear Locker AFT</t>
  </si>
  <si>
    <t>The "K" reduction factor of 0.96 was applied per 46 CFR 170-295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</si>
</sst>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00"/>
    <numFmt numFmtId="165" formatCode="0.0"/>
    <numFmt numFmtId="166" formatCode="#,##0.0"/>
    <numFmt numFmtId="167" formatCode="0,000\ &quot;LT&quot;"/>
    <numFmt numFmtId="168" formatCode="0.000\ &quot;ft&quot;"/>
    <numFmt numFmtId="169" formatCode="[$-409]mmmm\ d\,\ yyyy;@"/>
  </numFmts>
  <fonts count="43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name val="MS Sans Serif"/>
      <family val="2"/>
    </font>
    <font>
      <sz val="11"/>
      <name val="MS Sans Serif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 Narrow"/>
      <family val="2"/>
    </font>
    <font>
      <sz val="10"/>
      <color theme="3" tint="0.39997558519241921"/>
      <name val="Arial"/>
      <family val="2"/>
    </font>
    <font>
      <sz val="9"/>
      <color theme="1"/>
      <name val="Courier New"/>
      <family val="3"/>
    </font>
    <font>
      <sz val="8"/>
      <color theme="3" tint="0.39997558519241921"/>
      <name val="Arial Narrow"/>
      <family val="2"/>
    </font>
    <font>
      <sz val="11"/>
      <color theme="3" tint="0.39997558519241921"/>
      <name val="Arial Narrow"/>
      <family val="2"/>
    </font>
    <font>
      <sz val="8"/>
      <color theme="9" tint="-0.499984740745262"/>
      <name val="Arial Narrow"/>
      <family val="2"/>
    </font>
    <font>
      <sz val="8"/>
      <color rgb="FF0000FF"/>
      <name val="Arial Narrow"/>
      <family val="2"/>
    </font>
    <font>
      <b/>
      <sz val="8"/>
      <color theme="9" tint="-0.499984740745262"/>
      <name val="Arial Narrow"/>
      <family val="2"/>
    </font>
    <font>
      <sz val="8"/>
      <color theme="9" tint="-0.499984740745262"/>
      <name val="Arial Black"/>
      <family val="2"/>
    </font>
    <font>
      <sz val="12"/>
      <color theme="1"/>
      <name val="Calibri"/>
      <family val="2"/>
      <scheme val="minor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dotted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dotted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dotted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dotted">
        <color theme="9" tint="-0.499984740745262"/>
      </top>
      <bottom style="medium">
        <color theme="9" tint="-0.499984740745262"/>
      </bottom>
      <diagonal/>
    </border>
  </borders>
  <cellStyleXfs count="360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3" borderId="0" applyFont="0" applyAlignment="0"/>
    <xf numFmtId="0" fontId="15" fillId="0" borderId="0"/>
    <xf numFmtId="0" fontId="9" fillId="0" borderId="0"/>
    <xf numFmtId="0" fontId="17" fillId="0" borderId="0"/>
    <xf numFmtId="0" fontId="2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25" fillId="0" borderId="0">
      <alignment vertical="top"/>
    </xf>
    <xf numFmtId="0" fontId="17" fillId="0" borderId="0"/>
    <xf numFmtId="0" fontId="9" fillId="0" borderId="0"/>
    <xf numFmtId="0" fontId="1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25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9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27" fillId="0" borderId="0"/>
    <xf numFmtId="0" fontId="5" fillId="0" borderId="0"/>
    <xf numFmtId="0" fontId="17" fillId="0" borderId="0"/>
    <xf numFmtId="0" fontId="9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27" fillId="0" borderId="0"/>
    <xf numFmtId="0" fontId="5" fillId="0" borderId="0"/>
    <xf numFmtId="0" fontId="17" fillId="0" borderId="0"/>
    <xf numFmtId="0" fontId="27" fillId="0" borderId="0"/>
    <xf numFmtId="0" fontId="17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27" fillId="0" borderId="0"/>
    <xf numFmtId="0" fontId="17" fillId="0" borderId="0"/>
    <xf numFmtId="0" fontId="5" fillId="0" borderId="0"/>
    <xf numFmtId="0" fontId="9" fillId="0" borderId="0"/>
    <xf numFmtId="0" fontId="9" fillId="0" borderId="0"/>
    <xf numFmtId="0" fontId="27" fillId="0" borderId="0"/>
    <xf numFmtId="0" fontId="5" fillId="0" borderId="0"/>
    <xf numFmtId="0" fontId="5" fillId="0" borderId="0"/>
    <xf numFmtId="0" fontId="9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3" fillId="0" borderId="0"/>
    <xf numFmtId="0" fontId="39" fillId="0" borderId="0"/>
    <xf numFmtId="43" fontId="41" fillId="0" borderId="0" applyFont="0" applyFill="0" applyBorder="0" applyAlignment="0" applyProtection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9" fillId="0" borderId="0" applyFont="0" applyFill="0" applyBorder="0" applyAlignment="0" applyProtection="0"/>
  </cellStyleXfs>
  <cellXfs count="70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14" fillId="0" borderId="0" xfId="0" applyFont="1"/>
    <xf numFmtId="4" fontId="14" fillId="0" borderId="0" xfId="0" applyNumberFormat="1" applyFont="1"/>
    <xf numFmtId="0" fontId="0" fillId="0" borderId="0" xfId="0" applyFill="1"/>
    <xf numFmtId="2" fontId="11" fillId="4" borderId="8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right" indent="1"/>
    </xf>
    <xf numFmtId="0" fontId="11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indent="1"/>
    </xf>
    <xf numFmtId="164" fontId="0" fillId="4" borderId="1" xfId="0" applyNumberFormat="1" applyFill="1" applyBorder="1" applyAlignment="1">
      <alignment horizontal="right" vertical="center" indent="1"/>
    </xf>
    <xf numFmtId="164" fontId="0" fillId="4" borderId="2" xfId="0" applyNumberFormat="1" applyFill="1" applyBorder="1" applyAlignment="1">
      <alignment horizontal="right" vertical="center" indent="1"/>
    </xf>
    <xf numFmtId="0" fontId="0" fillId="4" borderId="1" xfId="0" applyFill="1" applyBorder="1" applyAlignment="1">
      <alignment horizontal="left" indent="1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indent="1"/>
    </xf>
    <xf numFmtId="0" fontId="11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center" vertical="center"/>
    </xf>
    <xf numFmtId="0" fontId="14" fillId="4" borderId="0" xfId="0" applyFont="1" applyFill="1"/>
    <xf numFmtId="0" fontId="9" fillId="4" borderId="0" xfId="0" applyFont="1" applyFill="1" applyAlignment="1">
      <alignment vertical="center"/>
    </xf>
    <xf numFmtId="0" fontId="11" fillId="4" borderId="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indent="1"/>
    </xf>
    <xf numFmtId="0" fontId="0" fillId="0" borderId="0" xfId="0" applyAlignment="1">
      <alignment vertical="center"/>
    </xf>
    <xf numFmtId="2" fontId="0" fillId="4" borderId="1" xfId="0" applyNumberFormat="1" applyFill="1" applyBorder="1" applyAlignment="1">
      <alignment horizontal="right" vertical="center" indent="2"/>
    </xf>
    <xf numFmtId="2" fontId="0" fillId="4" borderId="2" xfId="0" applyNumberFormat="1" applyFill="1" applyBorder="1" applyAlignment="1">
      <alignment horizontal="right" vertical="center" indent="2"/>
    </xf>
    <xf numFmtId="0" fontId="9" fillId="0" borderId="0" xfId="0" applyFont="1"/>
    <xf numFmtId="0" fontId="0" fillId="4" borderId="10" xfId="0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0" xfId="0" applyFill="1"/>
    <xf numFmtId="0" fontId="0" fillId="4" borderId="13" xfId="0" applyFill="1" applyBorder="1" applyAlignment="1">
      <alignment horizontal="left" vertical="center" indent="1"/>
    </xf>
    <xf numFmtId="0" fontId="9" fillId="4" borderId="13" xfId="0" quotePrefix="1" applyFont="1" applyFill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 indent="1"/>
    </xf>
    <xf numFmtId="0" fontId="9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1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9" fontId="16" fillId="4" borderId="1" xfId="0" applyNumberFormat="1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center" vertical="center" shrinkToFit="1"/>
    </xf>
    <xf numFmtId="3" fontId="19" fillId="4" borderId="1" xfId="0" applyNumberFormat="1" applyFont="1" applyFill="1" applyBorder="1" applyAlignment="1">
      <alignment horizontal="right" vertical="center" indent="1" shrinkToFit="1"/>
    </xf>
    <xf numFmtId="164" fontId="19" fillId="4" borderId="1" xfId="0" applyNumberFormat="1" applyFont="1" applyFill="1" applyBorder="1" applyAlignment="1">
      <alignment horizontal="right" vertical="center" indent="1" shrinkToFit="1"/>
    </xf>
    <xf numFmtId="2" fontId="19" fillId="4" borderId="1" xfId="0" applyNumberFormat="1" applyFont="1" applyFill="1" applyBorder="1" applyAlignment="1">
      <alignment horizontal="right" vertical="center" indent="1" shrinkToFit="1"/>
    </xf>
    <xf numFmtId="2" fontId="19" fillId="4" borderId="2" xfId="0" applyNumberFormat="1" applyFont="1" applyFill="1" applyBorder="1" applyAlignment="1">
      <alignment horizontal="right" vertical="center" indent="1" shrinkToFit="1"/>
    </xf>
    <xf numFmtId="3" fontId="19" fillId="4" borderId="10" xfId="0" applyNumberFormat="1" applyFont="1" applyFill="1" applyBorder="1" applyAlignment="1">
      <alignment horizontal="right" vertical="center" indent="1" shrinkToFit="1"/>
    </xf>
    <xf numFmtId="164" fontId="19" fillId="4" borderId="10" xfId="0" applyNumberFormat="1" applyFont="1" applyFill="1" applyBorder="1" applyAlignment="1">
      <alignment horizontal="right" vertical="center" indent="1" shrinkToFit="1"/>
    </xf>
    <xf numFmtId="2" fontId="19" fillId="4" borderId="10" xfId="0" applyNumberFormat="1" applyFont="1" applyFill="1" applyBorder="1" applyAlignment="1">
      <alignment horizontal="right" vertical="center" indent="1" shrinkToFit="1"/>
    </xf>
    <xf numFmtId="0" fontId="19" fillId="4" borderId="1" xfId="0" applyFont="1" applyFill="1" applyBorder="1" applyAlignment="1">
      <alignment horizontal="right" vertical="center" indent="1" shrinkToFit="1"/>
    </xf>
    <xf numFmtId="0" fontId="19" fillId="4" borderId="13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4" borderId="11" xfId="0" applyFont="1" applyFill="1" applyBorder="1" applyAlignment="1">
      <alignment horizontal="right" indent="1"/>
    </xf>
    <xf numFmtId="0" fontId="21" fillId="4" borderId="5" xfId="0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20" fillId="4" borderId="13" xfId="0" applyFont="1" applyFill="1" applyBorder="1" applyAlignment="1">
      <alignment horizontal="right" indent="1"/>
    </xf>
    <xf numFmtId="0" fontId="22" fillId="4" borderId="16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left" vertical="center" indent="1"/>
    </xf>
    <xf numFmtId="0" fontId="22" fillId="4" borderId="22" xfId="0" applyFont="1" applyFill="1" applyBorder="1" applyAlignment="1">
      <alignment horizontal="left" vertical="center" indent="1"/>
    </xf>
    <xf numFmtId="0" fontId="22" fillId="4" borderId="23" xfId="0" applyFont="1" applyFill="1" applyBorder="1" applyAlignment="1">
      <alignment horizontal="left" vertical="center" indent="1"/>
    </xf>
    <xf numFmtId="0" fontId="20" fillId="4" borderId="25" xfId="0" applyFont="1" applyFill="1" applyBorder="1" applyAlignment="1">
      <alignment horizontal="left" vertical="center" indent="1"/>
    </xf>
    <xf numFmtId="0" fontId="20" fillId="4" borderId="23" xfId="0" applyFont="1" applyFill="1" applyBorder="1" applyAlignment="1">
      <alignment horizontal="left" vertical="center" indent="1"/>
    </xf>
    <xf numFmtId="0" fontId="20" fillId="4" borderId="30" xfId="0" applyFont="1" applyFill="1" applyBorder="1" applyAlignment="1">
      <alignment horizontal="left" vertical="center" indent="1"/>
    </xf>
    <xf numFmtId="0" fontId="20" fillId="4" borderId="13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left"/>
    </xf>
    <xf numFmtId="0" fontId="21" fillId="4" borderId="13" xfId="0" applyFont="1" applyFill="1" applyBorder="1" applyAlignment="1">
      <alignment horizontal="left" indent="1"/>
    </xf>
    <xf numFmtId="0" fontId="21" fillId="4" borderId="0" xfId="0" applyFont="1" applyFill="1" applyBorder="1" applyAlignment="1">
      <alignment horizontal="right"/>
    </xf>
    <xf numFmtId="0" fontId="21" fillId="4" borderId="0" xfId="0" quotePrefix="1" applyFont="1" applyFill="1" applyBorder="1" applyAlignment="1">
      <alignment horizontal="left"/>
    </xf>
    <xf numFmtId="0" fontId="21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 indent="1"/>
    </xf>
    <xf numFmtId="0" fontId="21" fillId="4" borderId="16" xfId="0" applyFont="1" applyFill="1" applyBorder="1" applyAlignment="1">
      <alignment horizontal="left"/>
    </xf>
    <xf numFmtId="0" fontId="11" fillId="4" borderId="8" xfId="7" applyFont="1" applyFill="1" applyBorder="1" applyAlignment="1">
      <alignment vertical="center"/>
    </xf>
    <xf numFmtId="0" fontId="11" fillId="4" borderId="8" xfId="7" applyFont="1" applyFill="1" applyBorder="1" applyAlignment="1">
      <alignment horizontal="center" vertical="center"/>
    </xf>
    <xf numFmtId="0" fontId="15" fillId="0" borderId="0" xfId="7" applyFont="1"/>
    <xf numFmtId="0" fontId="9" fillId="4" borderId="2" xfId="7" applyFont="1" applyFill="1" applyBorder="1" applyAlignment="1">
      <alignment vertical="center"/>
    </xf>
    <xf numFmtId="0" fontId="9" fillId="4" borderId="2" xfId="7" applyFont="1" applyFill="1" applyBorder="1" applyAlignment="1">
      <alignment horizontal="center" vertical="center"/>
    </xf>
    <xf numFmtId="2" fontId="9" fillId="4" borderId="1" xfId="7" applyNumberFormat="1" applyFont="1" applyFill="1" applyBorder="1" applyAlignment="1">
      <alignment horizontal="right" vertical="center" indent="2"/>
    </xf>
    <xf numFmtId="2" fontId="9" fillId="4" borderId="2" xfId="7" applyNumberFormat="1" applyFont="1" applyFill="1" applyBorder="1" applyAlignment="1">
      <alignment horizontal="right" vertical="center" indent="2"/>
    </xf>
    <xf numFmtId="0" fontId="9" fillId="4" borderId="0" xfId="0" applyFont="1" applyFill="1" applyAlignment="1">
      <alignment horizontal="left" vertical="center"/>
    </xf>
    <xf numFmtId="0" fontId="21" fillId="5" borderId="13" xfId="9" applyFont="1" applyFill="1" applyBorder="1" applyAlignment="1">
      <alignment horizontal="left" indent="1"/>
    </xf>
    <xf numFmtId="0" fontId="21" fillId="4" borderId="0" xfId="9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8" fillId="4" borderId="13" xfId="0" applyFont="1" applyFill="1" applyBorder="1" applyAlignment="1">
      <alignment horizontal="left" indent="1"/>
    </xf>
    <xf numFmtId="0" fontId="8" fillId="4" borderId="15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left" indent="1"/>
    </xf>
    <xf numFmtId="0" fontId="8" fillId="4" borderId="9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/>
    </xf>
    <xf numFmtId="0" fontId="26" fillId="4" borderId="32" xfId="0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left" vertical="center" indent="1"/>
    </xf>
    <xf numFmtId="4" fontId="8" fillId="4" borderId="27" xfId="0" applyNumberFormat="1" applyFont="1" applyFill="1" applyBorder="1" applyAlignment="1">
      <alignment horizontal="right" vertical="center" indent="1"/>
    </xf>
    <xf numFmtId="0" fontId="8" fillId="4" borderId="26" xfId="0" applyFont="1" applyFill="1" applyBorder="1" applyAlignment="1">
      <alignment horizontal="left" vertical="center" indent="1" shrinkToFit="1"/>
    </xf>
    <xf numFmtId="4" fontId="8" fillId="4" borderId="18" xfId="0" applyNumberFormat="1" applyFont="1" applyFill="1" applyBorder="1" applyAlignment="1">
      <alignment horizontal="right" vertical="center" indent="1"/>
    </xf>
    <xf numFmtId="4" fontId="8" fillId="4" borderId="18" xfId="0" applyNumberFormat="1" applyFont="1" applyFill="1" applyBorder="1" applyAlignment="1">
      <alignment vertical="center"/>
    </xf>
    <xf numFmtId="0" fontId="8" fillId="4" borderId="22" xfId="0" applyFont="1" applyFill="1" applyBorder="1" applyAlignment="1">
      <alignment horizontal="left" vertical="center" indent="1" shrinkToFit="1"/>
    </xf>
    <xf numFmtId="0" fontId="8" fillId="4" borderId="35" xfId="0" applyFont="1" applyFill="1" applyBorder="1" applyAlignment="1">
      <alignment vertical="center"/>
    </xf>
    <xf numFmtId="0" fontId="8" fillId="4" borderId="34" xfId="0" applyFont="1" applyFill="1" applyBorder="1" applyAlignment="1">
      <alignment horizontal="right" vertical="center"/>
    </xf>
    <xf numFmtId="0" fontId="8" fillId="4" borderId="34" xfId="0" applyFont="1" applyFill="1" applyBorder="1" applyAlignment="1">
      <alignment vertical="center"/>
    </xf>
    <xf numFmtId="0" fontId="26" fillId="4" borderId="33" xfId="0" applyFont="1" applyFill="1" applyBorder="1" applyAlignment="1">
      <alignment vertical="center" shrinkToFit="1"/>
    </xf>
    <xf numFmtId="0" fontId="21" fillId="4" borderId="0" xfId="0" applyFont="1" applyFill="1" applyBorder="1" applyAlignment="1" applyProtection="1">
      <alignment horizontal="left"/>
      <protection locked="0"/>
    </xf>
    <xf numFmtId="0" fontId="21" fillId="4" borderId="0" xfId="0" applyFont="1" applyFill="1" applyBorder="1" applyAlignment="1" applyProtection="1">
      <alignment horizontal="right"/>
      <protection locked="0"/>
    </xf>
    <xf numFmtId="0" fontId="8" fillId="4" borderId="24" xfId="0" applyFont="1" applyFill="1" applyBorder="1" applyAlignment="1">
      <alignment vertical="center"/>
    </xf>
    <xf numFmtId="4" fontId="21" fillId="4" borderId="24" xfId="0" applyNumberFormat="1" applyFont="1" applyFill="1" applyBorder="1" applyAlignment="1">
      <alignment vertical="center"/>
    </xf>
    <xf numFmtId="4" fontId="21" fillId="4" borderId="18" xfId="0" applyNumberFormat="1" applyFont="1" applyFill="1" applyBorder="1" applyAlignment="1">
      <alignment vertical="center"/>
    </xf>
    <xf numFmtId="4" fontId="21" fillId="4" borderId="20" xfId="0" applyNumberFormat="1" applyFont="1" applyFill="1" applyBorder="1" applyAlignment="1">
      <alignment vertical="center"/>
    </xf>
    <xf numFmtId="4" fontId="21" fillId="4" borderId="29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2" fontId="0" fillId="4" borderId="10" xfId="0" applyNumberFormat="1" applyFill="1" applyBorder="1" applyAlignment="1">
      <alignment horizontal="center" vertical="center"/>
    </xf>
    <xf numFmtId="0" fontId="0" fillId="4" borderId="32" xfId="0" applyFill="1" applyBorder="1" applyAlignment="1">
      <alignment horizontal="left" indent="1"/>
    </xf>
    <xf numFmtId="2" fontId="0" fillId="4" borderId="32" xfId="0" applyNumberFormat="1" applyFill="1" applyBorder="1" applyAlignment="1">
      <alignment horizontal="right" indent="1"/>
    </xf>
    <xf numFmtId="0" fontId="16" fillId="4" borderId="1" xfId="0" applyFont="1" applyFill="1" applyBorder="1" applyAlignment="1">
      <alignment shrinkToFit="1"/>
    </xf>
    <xf numFmtId="0" fontId="19" fillId="4" borderId="10" xfId="0" applyFont="1" applyFill="1" applyBorder="1" applyAlignment="1">
      <alignment vertical="center" shrinkToFit="1"/>
    </xf>
    <xf numFmtId="0" fontId="27" fillId="4" borderId="1" xfId="93" applyFont="1" applyFill="1" applyBorder="1" applyAlignment="1">
      <alignment horizontal="left" indent="1"/>
    </xf>
    <xf numFmtId="49" fontId="27" fillId="4" borderId="1" xfId="101" applyNumberFormat="1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 vertical="center" shrinkToFit="1"/>
    </xf>
    <xf numFmtId="3" fontId="27" fillId="4" borderId="1" xfId="109" applyNumberFormat="1" applyFont="1" applyFill="1" applyBorder="1" applyAlignment="1">
      <alignment horizontal="right" indent="1"/>
    </xf>
    <xf numFmtId="164" fontId="27" fillId="4" borderId="1" xfId="110" applyNumberFormat="1" applyFont="1" applyFill="1" applyBorder="1" applyAlignment="1">
      <alignment horizontal="center"/>
    </xf>
    <xf numFmtId="2" fontId="27" fillId="4" borderId="1" xfId="112" applyNumberFormat="1" applyFont="1" applyFill="1" applyBorder="1" applyAlignment="1">
      <alignment horizontal="right" indent="1"/>
    </xf>
    <xf numFmtId="2" fontId="27" fillId="4" borderId="1" xfId="113" applyNumberFormat="1" applyFont="1" applyFill="1" applyBorder="1" applyAlignment="1">
      <alignment horizontal="right" indent="1"/>
    </xf>
    <xf numFmtId="2" fontId="27" fillId="4" borderId="1" xfId="114" applyNumberFormat="1" applyFont="1" applyFill="1" applyBorder="1" applyAlignment="1">
      <alignment horizontal="right" indent="1"/>
    </xf>
    <xf numFmtId="3" fontId="27" fillId="4" borderId="2" xfId="109" applyNumberFormat="1" applyFont="1" applyFill="1" applyBorder="1" applyAlignment="1">
      <alignment horizontal="right" indent="1"/>
    </xf>
    <xf numFmtId="164" fontId="27" fillId="4" borderId="2" xfId="110" applyNumberFormat="1" applyFont="1" applyFill="1" applyBorder="1" applyAlignment="1">
      <alignment horizontal="center"/>
    </xf>
    <xf numFmtId="2" fontId="27" fillId="4" borderId="2" xfId="112" applyNumberFormat="1" applyFont="1" applyFill="1" applyBorder="1" applyAlignment="1">
      <alignment horizontal="right" indent="1"/>
    </xf>
    <xf numFmtId="2" fontId="27" fillId="4" borderId="2" xfId="113" applyNumberFormat="1" applyFont="1" applyFill="1" applyBorder="1" applyAlignment="1">
      <alignment horizontal="right" indent="1"/>
    </xf>
    <xf numFmtId="2" fontId="27" fillId="4" borderId="2" xfId="114" applyNumberFormat="1" applyFont="1" applyFill="1" applyBorder="1" applyAlignment="1">
      <alignment horizontal="right" indent="1"/>
    </xf>
    <xf numFmtId="2" fontId="27" fillId="4" borderId="36" xfId="115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28" fillId="0" borderId="0" xfId="0" applyFont="1"/>
    <xf numFmtId="2" fontId="27" fillId="4" borderId="1" xfId="111" applyNumberFormat="1" applyFont="1" applyFill="1" applyBorder="1" applyAlignment="1">
      <alignment horizontal="right" indent="1"/>
    </xf>
    <xf numFmtId="2" fontId="27" fillId="4" borderId="2" xfId="111" applyNumberFormat="1" applyFont="1" applyFill="1" applyBorder="1" applyAlignment="1">
      <alignment horizontal="right" indent="1"/>
    </xf>
    <xf numFmtId="49" fontId="27" fillId="4" borderId="2" xfId="101" applyNumberFormat="1" applyFont="1" applyFill="1" applyBorder="1" applyAlignment="1">
      <alignment horizontal="center"/>
    </xf>
    <xf numFmtId="2" fontId="19" fillId="4" borderId="32" xfId="0" applyNumberFormat="1" applyFont="1" applyFill="1" applyBorder="1" applyAlignment="1">
      <alignment horizontal="right" vertical="center" indent="1" shrinkToFit="1"/>
    </xf>
    <xf numFmtId="0" fontId="16" fillId="4" borderId="32" xfId="0" applyFont="1" applyFill="1" applyBorder="1" applyAlignment="1">
      <alignment horizontal="center" vertical="center" shrinkToFit="1"/>
    </xf>
    <xf numFmtId="3" fontId="19" fillId="4" borderId="32" xfId="0" applyNumberFormat="1" applyFont="1" applyFill="1" applyBorder="1" applyAlignment="1">
      <alignment horizontal="right" vertical="center" indent="1" shrinkToFit="1"/>
    </xf>
    <xf numFmtId="0" fontId="16" fillId="4" borderId="32" xfId="0" applyFont="1" applyFill="1" applyBorder="1" applyAlignment="1">
      <alignment horizontal="left" vertical="center" indent="1" shrinkToFit="1"/>
    </xf>
    <xf numFmtId="0" fontId="19" fillId="4" borderId="32" xfId="0" applyFont="1" applyFill="1" applyBorder="1" applyAlignment="1">
      <alignment horizontal="right" vertical="center" indent="1" shrinkToFit="1"/>
    </xf>
    <xf numFmtId="0" fontId="27" fillId="4" borderId="2" xfId="93" applyFont="1" applyFill="1" applyBorder="1" applyAlignment="1">
      <alignment horizontal="left" indent="1"/>
    </xf>
    <xf numFmtId="164" fontId="19" fillId="4" borderId="32" xfId="0" applyNumberFormat="1" applyFont="1" applyFill="1" applyBorder="1" applyAlignment="1">
      <alignment horizontal="right" vertical="center" indent="1" shrinkToFit="1"/>
    </xf>
    <xf numFmtId="2" fontId="27" fillId="4" borderId="0" xfId="115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8" fillId="0" borderId="34" xfId="0" applyFont="1" applyFill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 indent="1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" fontId="21" fillId="4" borderId="20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6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left" vertical="center" indent="1" shrinkToFit="1"/>
    </xf>
    <xf numFmtId="0" fontId="9" fillId="4" borderId="32" xfId="7" applyFont="1" applyFill="1" applyBorder="1" applyAlignment="1">
      <alignment horizontal="center" vertical="center"/>
    </xf>
    <xf numFmtId="2" fontId="9" fillId="4" borderId="32" xfId="7" applyNumberFormat="1" applyFont="1" applyFill="1" applyBorder="1" applyAlignment="1">
      <alignment horizontal="right" vertical="center" indent="2"/>
    </xf>
    <xf numFmtId="2" fontId="15" fillId="0" borderId="0" xfId="7" applyNumberFormat="1" applyFont="1"/>
    <xf numFmtId="164" fontId="0" fillId="2" borderId="0" xfId="0" applyNumberFormat="1" applyFill="1" applyAlignment="1">
      <alignment vertical="center"/>
    </xf>
    <xf numFmtId="0" fontId="9" fillId="0" borderId="0" xfId="0" applyFont="1" applyAlignment="1">
      <alignment horizontal="right"/>
    </xf>
    <xf numFmtId="0" fontId="0" fillId="4" borderId="0" xfId="0" applyFill="1" applyAlignment="1">
      <alignment horizontal="right"/>
    </xf>
    <xf numFmtId="0" fontId="9" fillId="4" borderId="0" xfId="0" applyFont="1" applyFill="1" applyAlignment="1">
      <alignment horizontal="left"/>
    </xf>
    <xf numFmtId="164" fontId="0" fillId="4" borderId="1" xfId="0" applyNumberFormat="1" applyFill="1" applyBorder="1" applyAlignment="1">
      <alignment horizontal="right" vertical="center" indent="2"/>
    </xf>
    <xf numFmtId="164" fontId="0" fillId="4" borderId="3" xfId="0" applyNumberFormat="1" applyFill="1" applyBorder="1" applyAlignment="1">
      <alignment horizontal="right" vertical="center" indent="2"/>
    </xf>
    <xf numFmtId="164" fontId="0" fillId="4" borderId="10" xfId="0" applyNumberFormat="1" applyFill="1" applyBorder="1" applyAlignment="1">
      <alignment horizontal="right" vertical="center" indent="2"/>
    </xf>
    <xf numFmtId="164" fontId="0" fillId="4" borderId="7" xfId="0" applyNumberFormat="1" applyFill="1" applyBorder="1" applyAlignment="1">
      <alignment horizontal="right" vertical="center" indent="2"/>
    </xf>
    <xf numFmtId="0" fontId="9" fillId="4" borderId="0" xfId="0" applyFont="1" applyFill="1" applyAlignment="1">
      <alignment horizontal="right"/>
    </xf>
    <xf numFmtId="0" fontId="9" fillId="4" borderId="1" xfId="0" applyFont="1" applyFill="1" applyBorder="1" applyAlignment="1">
      <alignment horizontal="left" vertical="center" indent="1"/>
    </xf>
    <xf numFmtId="2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 vertical="center" indent="2"/>
    </xf>
    <xf numFmtId="0" fontId="29" fillId="4" borderId="1" xfId="93" applyFont="1" applyFill="1" applyBorder="1" applyAlignment="1">
      <alignment horizontal="left" vertical="center" indent="1"/>
    </xf>
    <xf numFmtId="0" fontId="19" fillId="0" borderId="17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vertical="center"/>
    </xf>
    <xf numFmtId="2" fontId="8" fillId="4" borderId="24" xfId="0" applyNumberFormat="1" applyFont="1" applyFill="1" applyBorder="1" applyAlignment="1">
      <alignment vertical="center"/>
    </xf>
    <xf numFmtId="4" fontId="8" fillId="4" borderId="5" xfId="0" applyNumberFormat="1" applyFont="1" applyFill="1" applyBorder="1" applyAlignment="1">
      <alignment horizontal="center"/>
    </xf>
    <xf numFmtId="4" fontId="22" fillId="4" borderId="16" xfId="0" applyNumberFormat="1" applyFont="1" applyFill="1" applyBorder="1" applyAlignment="1">
      <alignment horizontal="center"/>
    </xf>
    <xf numFmtId="4" fontId="21" fillId="4" borderId="5" xfId="0" applyNumberFormat="1" applyFont="1" applyFill="1" applyBorder="1" applyAlignment="1">
      <alignment horizontal="center"/>
    </xf>
    <xf numFmtId="4" fontId="21" fillId="4" borderId="16" xfId="0" applyNumberFormat="1" applyFont="1" applyFill="1" applyBorder="1" applyAlignment="1">
      <alignment horizontal="center"/>
    </xf>
    <xf numFmtId="4" fontId="21" fillId="4" borderId="0" xfId="0" applyNumberFormat="1" applyFont="1" applyFill="1" applyBorder="1" applyAlignment="1">
      <alignment horizontal="center"/>
    </xf>
    <xf numFmtId="4" fontId="8" fillId="4" borderId="15" xfId="0" applyNumberFormat="1" applyFont="1" applyFill="1" applyBorder="1" applyAlignment="1">
      <alignment horizontal="center"/>
    </xf>
    <xf numFmtId="2" fontId="21" fillId="4" borderId="5" xfId="0" applyNumberFormat="1" applyFont="1" applyFill="1" applyBorder="1" applyAlignment="1">
      <alignment horizontal="center"/>
    </xf>
    <xf numFmtId="0" fontId="4" fillId="0" borderId="0" xfId="0" applyFont="1"/>
    <xf numFmtId="0" fontId="11" fillId="4" borderId="8" xfId="0" applyFont="1" applyFill="1" applyBorder="1" applyAlignment="1">
      <alignment horizontal="center" vertical="center"/>
    </xf>
    <xf numFmtId="4" fontId="0" fillId="0" borderId="0" xfId="0" applyNumberFormat="1"/>
    <xf numFmtId="2" fontId="14" fillId="0" borderId="0" xfId="0" applyNumberFormat="1" applyFont="1" applyAlignment="1">
      <alignment horizontal="right"/>
    </xf>
    <xf numFmtId="3" fontId="0" fillId="4" borderId="1" xfId="0" applyNumberFormat="1" applyFill="1" applyBorder="1" applyAlignment="1">
      <alignment horizontal="right" vertical="center" indent="1"/>
    </xf>
    <xf numFmtId="3" fontId="0" fillId="4" borderId="2" xfId="0" applyNumberFormat="1" applyFill="1" applyBorder="1" applyAlignment="1">
      <alignment horizontal="right" vertical="center" indent="1"/>
    </xf>
    <xf numFmtId="0" fontId="21" fillId="4" borderId="36" xfId="0" applyFont="1" applyFill="1" applyBorder="1" applyAlignment="1">
      <alignment horizontal="left"/>
    </xf>
    <xf numFmtId="2" fontId="21" fillId="4" borderId="36" xfId="0" applyNumberFormat="1" applyFont="1" applyFill="1" applyBorder="1" applyAlignment="1">
      <alignment horizontal="center"/>
    </xf>
    <xf numFmtId="0" fontId="8" fillId="4" borderId="38" xfId="0" applyFont="1" applyFill="1" applyBorder="1" applyAlignment="1">
      <alignment horizontal="left"/>
    </xf>
    <xf numFmtId="4" fontId="22" fillId="4" borderId="0" xfId="9" applyNumberFormat="1" applyFont="1" applyFill="1" applyBorder="1" applyAlignment="1" applyProtection="1">
      <alignment horizontal="right" indent="1"/>
      <protection locked="0"/>
    </xf>
    <xf numFmtId="0" fontId="21" fillId="0" borderId="0" xfId="0" applyFont="1" applyFill="1" applyBorder="1" applyAlignment="1">
      <alignment horizontal="right"/>
    </xf>
    <xf numFmtId="49" fontId="0" fillId="0" borderId="0" xfId="0" applyNumberFormat="1"/>
    <xf numFmtId="2" fontId="19" fillId="4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9" fontId="16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164" fontId="19" fillId="0" borderId="0" xfId="0" applyNumberFormat="1" applyFont="1" applyFill="1" applyBorder="1" applyAlignment="1">
      <alignment vertical="center"/>
    </xf>
    <xf numFmtId="0" fontId="19" fillId="0" borderId="0" xfId="0" quotePrefix="1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12" fillId="0" borderId="0" xfId="0" applyFont="1" applyFill="1" applyBorder="1" applyAlignment="1"/>
    <xf numFmtId="49" fontId="11" fillId="4" borderId="37" xfId="0" applyNumberFormat="1" applyFont="1" applyFill="1" applyBorder="1"/>
    <xf numFmtId="0" fontId="0" fillId="4" borderId="38" xfId="0" applyFill="1" applyBorder="1"/>
    <xf numFmtId="0" fontId="0" fillId="4" borderId="39" xfId="0" applyFill="1" applyBorder="1"/>
    <xf numFmtId="0" fontId="12" fillId="4" borderId="39" xfId="0" applyFont="1" applyFill="1" applyBorder="1" applyAlignment="1"/>
    <xf numFmtId="49" fontId="9" fillId="4" borderId="13" xfId="0" applyNumberFormat="1" applyFont="1" applyFill="1" applyBorder="1"/>
    <xf numFmtId="0" fontId="9" fillId="4" borderId="0" xfId="0" applyFont="1" applyFill="1" applyBorder="1"/>
    <xf numFmtId="0" fontId="0" fillId="4" borderId="0" xfId="0" applyFill="1" applyBorder="1"/>
    <xf numFmtId="0" fontId="0" fillId="4" borderId="3" xfId="0" applyFill="1" applyBorder="1"/>
    <xf numFmtId="0" fontId="16" fillId="4" borderId="3" xfId="0" applyFont="1" applyFill="1" applyBorder="1" applyAlignment="1">
      <alignment horizontal="center" vertical="center"/>
    </xf>
    <xf numFmtId="49" fontId="11" fillId="4" borderId="13" xfId="0" applyNumberFormat="1" applyFont="1" applyFill="1" applyBorder="1"/>
    <xf numFmtId="0" fontId="19" fillId="4" borderId="3" xfId="0" applyFont="1" applyFill="1" applyBorder="1" applyAlignment="1">
      <alignment horizontal="center" vertical="center" shrinkToFit="1"/>
    </xf>
    <xf numFmtId="164" fontId="19" fillId="4" borderId="3" xfId="0" applyNumberFormat="1" applyFont="1" applyFill="1" applyBorder="1" applyAlignment="1">
      <alignment vertical="center"/>
    </xf>
    <xf numFmtId="49" fontId="9" fillId="4" borderId="0" xfId="0" applyNumberFormat="1" applyFont="1" applyFill="1" applyBorder="1"/>
    <xf numFmtId="2" fontId="19" fillId="4" borderId="3" xfId="0" applyNumberFormat="1" applyFont="1" applyFill="1" applyBorder="1" applyAlignment="1">
      <alignment vertical="center"/>
    </xf>
    <xf numFmtId="0" fontId="0" fillId="4" borderId="36" xfId="0" applyFill="1" applyBorder="1"/>
    <xf numFmtId="0" fontId="0" fillId="4" borderId="4" xfId="0" applyFill="1" applyBorder="1"/>
    <xf numFmtId="49" fontId="9" fillId="4" borderId="12" xfId="0" applyNumberFormat="1" applyFont="1" applyFill="1" applyBorder="1"/>
    <xf numFmtId="0" fontId="9" fillId="4" borderId="36" xfId="0" applyFont="1" applyFill="1" applyBorder="1"/>
    <xf numFmtId="0" fontId="20" fillId="4" borderId="37" xfId="0" applyFont="1" applyFill="1" applyBorder="1" applyAlignment="1">
      <alignment horizontal="left"/>
    </xf>
    <xf numFmtId="0" fontId="20" fillId="4" borderId="38" xfId="0" applyFont="1" applyFill="1" applyBorder="1" applyAlignment="1">
      <alignment horizontal="right"/>
    </xf>
    <xf numFmtId="0" fontId="20" fillId="4" borderId="38" xfId="0" applyFont="1" applyFill="1" applyBorder="1" applyAlignment="1">
      <alignment horizontal="left"/>
    </xf>
    <xf numFmtId="0" fontId="21" fillId="4" borderId="36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2" fontId="9" fillId="4" borderId="10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/>
    <xf numFmtId="0" fontId="9" fillId="4" borderId="0" xfId="0" applyNumberFormat="1" applyFont="1" applyFill="1" applyBorder="1" applyAlignment="1">
      <alignment horizontal="left" vertical="center"/>
    </xf>
    <xf numFmtId="49" fontId="9" fillId="4" borderId="0" xfId="0" applyNumberFormat="1" applyFont="1" applyFill="1" applyBorder="1" applyAlignment="1">
      <alignment horizontal="left"/>
    </xf>
    <xf numFmtId="49" fontId="9" fillId="4" borderId="0" xfId="0" quotePrefix="1" applyNumberFormat="1" applyFont="1" applyFill="1" applyBorder="1" applyAlignment="1">
      <alignment horizontal="left"/>
    </xf>
    <xf numFmtId="0" fontId="19" fillId="4" borderId="0" xfId="0" quotePrefix="1" applyNumberFormat="1" applyFont="1" applyFill="1" applyBorder="1" applyAlignment="1">
      <alignment horizontal="center" vertical="center"/>
    </xf>
    <xf numFmtId="49" fontId="11" fillId="4" borderId="38" xfId="0" applyNumberFormat="1" applyFont="1" applyFill="1" applyBorder="1"/>
    <xf numFmtId="0" fontId="11" fillId="4" borderId="13" xfId="0" applyFont="1" applyFill="1" applyBorder="1"/>
    <xf numFmtId="164" fontId="19" fillId="4" borderId="4" xfId="0" applyNumberFormat="1" applyFont="1" applyFill="1" applyBorder="1" applyAlignment="1">
      <alignment horizontal="right" vertical="center" indent="1"/>
    </xf>
    <xf numFmtId="0" fontId="19" fillId="4" borderId="0" xfId="0" applyFont="1" applyFill="1" applyBorder="1" applyAlignment="1">
      <alignment horizontal="left" vertical="center"/>
    </xf>
    <xf numFmtId="3" fontId="19" fillId="4" borderId="2" xfId="0" applyNumberFormat="1" applyFont="1" applyFill="1" applyBorder="1" applyAlignment="1">
      <alignment horizontal="right" vertical="center" indent="1" shrinkToFit="1"/>
    </xf>
    <xf numFmtId="164" fontId="19" fillId="4" borderId="2" xfId="0" applyNumberFormat="1" applyFont="1" applyFill="1" applyBorder="1" applyAlignment="1">
      <alignment horizontal="right" vertical="center" indent="1" shrinkToFit="1"/>
    </xf>
    <xf numFmtId="2" fontId="27" fillId="4" borderId="1" xfId="115" applyNumberFormat="1" applyFont="1" applyFill="1" applyBorder="1" applyAlignment="1">
      <alignment horizontal="right" indent="1"/>
    </xf>
    <xf numFmtId="2" fontId="27" fillId="4" borderId="2" xfId="115" applyNumberFormat="1" applyFont="1" applyFill="1" applyBorder="1" applyAlignment="1">
      <alignment horizontal="right" indent="1"/>
    </xf>
    <xf numFmtId="0" fontId="16" fillId="4" borderId="0" xfId="0" applyFont="1" applyFill="1" applyBorder="1" applyAlignment="1">
      <alignment horizontal="left" vertical="center" indent="1" shrinkToFit="1"/>
    </xf>
    <xf numFmtId="0" fontId="0" fillId="0" borderId="0" xfId="0" applyBorder="1" applyAlignment="1">
      <alignment vertical="center"/>
    </xf>
    <xf numFmtId="0" fontId="19" fillId="4" borderId="0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shrinkToFit="1"/>
    </xf>
    <xf numFmtId="0" fontId="27" fillId="4" borderId="0" xfId="93" applyFont="1" applyFill="1" applyBorder="1" applyAlignment="1">
      <alignment horizontal="left" indent="1"/>
    </xf>
    <xf numFmtId="0" fontId="19" fillId="4" borderId="0" xfId="0" applyFont="1" applyFill="1" applyBorder="1" applyAlignment="1">
      <alignment vertical="center" shrinkToFit="1"/>
    </xf>
    <xf numFmtId="0" fontId="29" fillId="4" borderId="0" xfId="93" applyFont="1" applyFill="1" applyBorder="1" applyAlignment="1">
      <alignment horizontal="left" vertical="center" indent="1"/>
    </xf>
    <xf numFmtId="0" fontId="19" fillId="4" borderId="2" xfId="0" applyFont="1" applyFill="1" applyBorder="1" applyAlignment="1">
      <alignment horizontal="left" vertical="center" indent="1"/>
    </xf>
    <xf numFmtId="0" fontId="27" fillId="4" borderId="13" xfId="93" applyFont="1" applyFill="1" applyBorder="1" applyAlignment="1">
      <alignment horizontal="left" indent="1"/>
    </xf>
    <xf numFmtId="0" fontId="16" fillId="4" borderId="13" xfId="0" applyFont="1" applyFill="1" applyBorder="1" applyAlignment="1">
      <alignment shrinkToFit="1"/>
    </xf>
    <xf numFmtId="0" fontId="29" fillId="4" borderId="13" xfId="93" applyFont="1" applyFill="1" applyBorder="1" applyAlignment="1">
      <alignment horizontal="left" vertical="center" indent="1"/>
    </xf>
    <xf numFmtId="0" fontId="27" fillId="4" borderId="12" xfId="93" applyFont="1" applyFill="1" applyBorder="1" applyAlignment="1">
      <alignment horizontal="left" indent="1"/>
    </xf>
    <xf numFmtId="49" fontId="27" fillId="4" borderId="10" xfId="101" applyNumberFormat="1" applyFont="1" applyFill="1" applyBorder="1" applyAlignment="1">
      <alignment horizontal="center"/>
    </xf>
    <xf numFmtId="0" fontId="27" fillId="4" borderId="2" xfId="101" applyNumberFormat="1" applyFont="1" applyFill="1" applyBorder="1" applyAlignment="1">
      <alignment horizontal="center"/>
    </xf>
    <xf numFmtId="168" fontId="19" fillId="4" borderId="2" xfId="0" applyNumberFormat="1" applyFont="1" applyFill="1" applyBorder="1" applyAlignment="1">
      <alignment horizontal="center" vertical="center"/>
    </xf>
    <xf numFmtId="167" fontId="1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indent="1"/>
    </xf>
    <xf numFmtId="0" fontId="0" fillId="4" borderId="1" xfId="0" applyFont="1" applyFill="1" applyBorder="1" applyAlignment="1">
      <alignment horizontal="left" vertical="top" indent="1"/>
    </xf>
    <xf numFmtId="0" fontId="0" fillId="4" borderId="32" xfId="0" applyFill="1" applyBorder="1" applyAlignment="1">
      <alignment horizontal="left" vertical="top" indent="1"/>
    </xf>
    <xf numFmtId="0" fontId="0" fillId="4" borderId="2" xfId="0" applyFont="1" applyFill="1" applyBorder="1" applyAlignment="1">
      <alignment horizontal="left" vertical="top" indent="1"/>
    </xf>
    <xf numFmtId="164" fontId="0" fillId="4" borderId="32" xfId="0" applyNumberFormat="1" applyFill="1" applyBorder="1" applyAlignment="1">
      <alignment horizontal="right" vertical="center" indent="1"/>
    </xf>
    <xf numFmtId="3" fontId="0" fillId="4" borderId="32" xfId="0" applyNumberFormat="1" applyFill="1" applyBorder="1" applyAlignment="1">
      <alignment horizontal="right" vertical="center" indent="1"/>
    </xf>
    <xf numFmtId="0" fontId="0" fillId="4" borderId="10" xfId="0" applyFill="1" applyBorder="1" applyAlignment="1">
      <alignment horizontal="left" indent="1"/>
    </xf>
    <xf numFmtId="2" fontId="0" fillId="4" borderId="10" xfId="0" applyNumberFormat="1" applyFill="1" applyBorder="1" applyAlignment="1">
      <alignment horizontal="right" indent="1"/>
    </xf>
    <xf numFmtId="0" fontId="9" fillId="4" borderId="32" xfId="0" applyFont="1" applyFill="1" applyBorder="1" applyAlignment="1">
      <alignment horizontal="left" indent="1"/>
    </xf>
    <xf numFmtId="0" fontId="9" fillId="4" borderId="10" xfId="0" applyFont="1" applyFill="1" applyBorder="1" applyAlignment="1">
      <alignment horizontal="left" indent="1"/>
    </xf>
    <xf numFmtId="0" fontId="14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right" vertical="center" indent="2"/>
    </xf>
    <xf numFmtId="4" fontId="14" fillId="0" borderId="0" xfId="0" applyNumberFormat="1" applyFont="1" applyFill="1" applyBorder="1" applyAlignment="1">
      <alignment horizontal="right" vertical="center" indent="1"/>
    </xf>
    <xf numFmtId="0" fontId="14" fillId="0" borderId="0" xfId="0" applyNumberFormat="1" applyFont="1" applyFill="1" applyBorder="1" applyAlignment="1">
      <alignment horizontal="right" vertical="center" indent="1"/>
    </xf>
    <xf numFmtId="164" fontId="14" fillId="0" borderId="0" xfId="0" applyNumberFormat="1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0" fillId="0" borderId="0" xfId="0" applyNumberFormat="1" applyFill="1" applyBorder="1"/>
    <xf numFmtId="2" fontId="14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/>
    <xf numFmtId="2" fontId="14" fillId="4" borderId="10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30" fillId="0" borderId="0" xfId="0" applyFont="1"/>
    <xf numFmtId="0" fontId="11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4" borderId="32" xfId="7" applyFont="1" applyFill="1" applyBorder="1" applyAlignment="1">
      <alignment vertical="center"/>
    </xf>
    <xf numFmtId="0" fontId="9" fillId="4" borderId="1" xfId="7" applyFont="1" applyFill="1" applyBorder="1" applyAlignment="1">
      <alignment horizontal="left" vertical="center" indent="1"/>
    </xf>
    <xf numFmtId="0" fontId="11" fillId="4" borderId="1" xfId="7" applyFont="1" applyFill="1" applyBorder="1" applyAlignment="1">
      <alignment vertical="center"/>
    </xf>
    <xf numFmtId="0" fontId="9" fillId="4" borderId="2" xfId="7" applyFont="1" applyFill="1" applyBorder="1" applyAlignment="1">
      <alignment horizontal="left" vertical="center" indent="1"/>
    </xf>
    <xf numFmtId="2" fontId="15" fillId="0" borderId="0" xfId="7" applyNumberFormat="1" applyFont="1" applyBorder="1"/>
    <xf numFmtId="49" fontId="9" fillId="4" borderId="32" xfId="7" applyNumberFormat="1" applyFont="1" applyFill="1" applyBorder="1" applyAlignment="1">
      <alignment horizontal="center" vertical="center"/>
    </xf>
    <xf numFmtId="49" fontId="9" fillId="4" borderId="2" xfId="7" applyNumberFormat="1" applyFont="1" applyFill="1" applyBorder="1" applyAlignment="1">
      <alignment horizontal="center" vertical="center"/>
    </xf>
    <xf numFmtId="49" fontId="9" fillId="4" borderId="1" xfId="7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0" fillId="4" borderId="32" xfId="0" applyNumberFormat="1" applyFill="1" applyBorder="1" applyAlignment="1">
      <alignment horizontal="right" vertical="center" indent="2"/>
    </xf>
    <xf numFmtId="164" fontId="0" fillId="4" borderId="32" xfId="0" applyNumberFormat="1" applyFill="1" applyBorder="1" applyAlignment="1">
      <alignment horizontal="right" vertical="center" indent="2"/>
    </xf>
    <xf numFmtId="0" fontId="0" fillId="0" borderId="3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4" fontId="21" fillId="4" borderId="36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6" fillId="4" borderId="32" xfId="0" applyFont="1" applyFill="1" applyBorder="1" applyAlignment="1">
      <alignment horizontal="left" vertical="center" indent="1"/>
    </xf>
    <xf numFmtId="0" fontId="16" fillId="4" borderId="32" xfId="0" applyFont="1" applyFill="1" applyBorder="1" applyAlignment="1">
      <alignment horizontal="center" vertical="center"/>
    </xf>
    <xf numFmtId="9" fontId="16" fillId="4" borderId="1" xfId="0" applyNumberFormat="1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shrinkToFit="1"/>
    </xf>
    <xf numFmtId="2" fontId="19" fillId="4" borderId="34" xfId="0" applyNumberFormat="1" applyFont="1" applyFill="1" applyBorder="1" applyAlignment="1">
      <alignment vertical="center"/>
    </xf>
    <xf numFmtId="164" fontId="19" fillId="4" borderId="34" xfId="0" applyNumberFormat="1" applyFont="1" applyFill="1" applyBorder="1" applyAlignment="1">
      <alignment vertical="center"/>
    </xf>
    <xf numFmtId="0" fontId="9" fillId="0" borderId="35" xfId="0" applyFont="1" applyBorder="1"/>
    <xf numFmtId="0" fontId="27" fillId="4" borderId="32" xfId="93" applyFont="1" applyFill="1" applyBorder="1" applyAlignment="1">
      <alignment horizontal="left" indent="1"/>
    </xf>
    <xf numFmtId="2" fontId="19" fillId="4" borderId="35" xfId="0" applyNumberFormat="1" applyFont="1" applyFill="1" applyBorder="1" applyAlignment="1">
      <alignment vertical="center"/>
    </xf>
    <xf numFmtId="2" fontId="19" fillId="0" borderId="32" xfId="0" applyNumberFormat="1" applyFont="1" applyFill="1" applyBorder="1" applyAlignment="1">
      <alignment vertical="center"/>
    </xf>
    <xf numFmtId="0" fontId="9" fillId="0" borderId="2" xfId="0" applyFont="1" applyBorder="1"/>
    <xf numFmtId="0" fontId="9" fillId="0" borderId="34" xfId="0" applyFont="1" applyBorder="1"/>
    <xf numFmtId="0" fontId="27" fillId="4" borderId="10" xfId="93" applyFont="1" applyFill="1" applyBorder="1" applyAlignment="1">
      <alignment horizontal="left" indent="1"/>
    </xf>
    <xf numFmtId="0" fontId="9" fillId="0" borderId="10" xfId="0" applyFont="1" applyBorder="1"/>
    <xf numFmtId="2" fontId="19" fillId="0" borderId="1" xfId="0" applyNumberFormat="1" applyFont="1" applyFill="1" applyBorder="1" applyAlignment="1">
      <alignment vertical="center"/>
    </xf>
    <xf numFmtId="164" fontId="19" fillId="0" borderId="1" xfId="0" applyNumberFormat="1" applyFont="1" applyFill="1" applyBorder="1" applyAlignment="1">
      <alignment horizontal="right" vertical="center" indent="1"/>
    </xf>
    <xf numFmtId="164" fontId="19" fillId="0" borderId="1" xfId="0" applyNumberFormat="1" applyFont="1" applyFill="1" applyBorder="1" applyAlignment="1">
      <alignment vertical="center"/>
    </xf>
    <xf numFmtId="2" fontId="19" fillId="0" borderId="2" xfId="0" applyNumberFormat="1" applyFont="1" applyFill="1" applyBorder="1" applyAlignment="1">
      <alignment vertical="center"/>
    </xf>
    <xf numFmtId="0" fontId="9" fillId="0" borderId="32" xfId="0" applyFont="1" applyFill="1" applyBorder="1"/>
    <xf numFmtId="0" fontId="9" fillId="0" borderId="1" xfId="0" applyFont="1" applyFill="1" applyBorder="1"/>
    <xf numFmtId="0" fontId="16" fillId="4" borderId="34" xfId="0" applyFont="1" applyFill="1" applyBorder="1" applyAlignment="1">
      <alignment horizontal="center" vertical="center" shrinkToFit="1"/>
    </xf>
    <xf numFmtId="49" fontId="27" fillId="4" borderId="32" xfId="101" applyNumberFormat="1" applyFont="1" applyFill="1" applyBorder="1" applyAlignment="1">
      <alignment horizontal="center"/>
    </xf>
    <xf numFmtId="0" fontId="16" fillId="4" borderId="38" xfId="0" applyFon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14" fillId="4" borderId="10" xfId="0" applyNumberFormat="1" applyFont="1" applyFill="1" applyBorder="1" applyAlignment="1">
      <alignment horizontal="center"/>
    </xf>
    <xf numFmtId="0" fontId="14" fillId="4" borderId="0" xfId="0" applyFont="1" applyFill="1" applyBorder="1"/>
    <xf numFmtId="0" fontId="13" fillId="4" borderId="0" xfId="0" applyFont="1" applyFill="1" applyBorder="1" applyAlignment="1">
      <alignment vertical="center"/>
    </xf>
    <xf numFmtId="0" fontId="3" fillId="0" borderId="0" xfId="293"/>
    <xf numFmtId="1" fontId="31" fillId="0" borderId="0" xfId="293" applyNumberFormat="1" applyFont="1" applyBorder="1" applyAlignment="1">
      <alignment horizontal="right"/>
    </xf>
    <xf numFmtId="2" fontId="3" fillId="0" borderId="0" xfId="293" applyNumberFormat="1"/>
    <xf numFmtId="0" fontId="31" fillId="0" borderId="0" xfId="293" applyFont="1" applyAlignment="1">
      <alignment horizontal="center"/>
    </xf>
    <xf numFmtId="1" fontId="31" fillId="0" borderId="0" xfId="293" applyNumberFormat="1" applyFont="1" applyBorder="1" applyAlignment="1">
      <alignment horizontal="center"/>
    </xf>
    <xf numFmtId="0" fontId="30" fillId="0" borderId="0" xfId="293" applyFont="1"/>
    <xf numFmtId="0" fontId="32" fillId="0" borderId="0" xfId="293" applyFont="1"/>
    <xf numFmtId="2" fontId="35" fillId="0" borderId="0" xfId="293" applyNumberFormat="1" applyFont="1" applyFill="1" applyBorder="1" applyAlignment="1">
      <alignment horizontal="center"/>
    </xf>
    <xf numFmtId="0" fontId="37" fillId="0" borderId="0" xfId="293" applyFont="1" applyFill="1" applyBorder="1" applyAlignment="1">
      <alignment horizontal="left"/>
    </xf>
    <xf numFmtId="0" fontId="32" fillId="0" borderId="0" xfId="293" applyFont="1" applyAlignment="1">
      <alignment horizontal="right"/>
    </xf>
    <xf numFmtId="0" fontId="21" fillId="4" borderId="13" xfId="75" applyFont="1" applyFill="1" applyBorder="1" applyAlignment="1" applyProtection="1">
      <alignment horizontal="left" indent="1"/>
    </xf>
    <xf numFmtId="0" fontId="21" fillId="4" borderId="0" xfId="87" applyFont="1" applyFill="1" applyBorder="1" applyAlignment="1" applyProtection="1">
      <alignment horizontal="left"/>
    </xf>
    <xf numFmtId="0" fontId="0" fillId="0" borderId="10" xfId="0" applyBorder="1"/>
    <xf numFmtId="0" fontId="0" fillId="4" borderId="2" xfId="0" applyFill="1" applyBorder="1"/>
    <xf numFmtId="0" fontId="9" fillId="0" borderId="10" xfId="0" applyFont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2" fontId="14" fillId="0" borderId="0" xfId="0" applyNumberFormat="1" applyFont="1"/>
    <xf numFmtId="0" fontId="14" fillId="0" borderId="0" xfId="0" applyFont="1" applyFill="1"/>
    <xf numFmtId="0" fontId="9" fillId="0" borderId="0" xfId="0" applyFont="1" applyFill="1"/>
    <xf numFmtId="4" fontId="0" fillId="0" borderId="0" xfId="0" applyNumberFormat="1" applyFill="1"/>
    <xf numFmtId="0" fontId="3" fillId="0" borderId="0" xfId="293" applyBorder="1"/>
    <xf numFmtId="0" fontId="30" fillId="0" borderId="0" xfId="293" applyFont="1" applyBorder="1"/>
    <xf numFmtId="0" fontId="37" fillId="0" borderId="0" xfId="293" applyFont="1" applyFill="1" applyBorder="1" applyAlignment="1">
      <alignment horizontal="right"/>
    </xf>
    <xf numFmtId="0" fontId="37" fillId="0" borderId="0" xfId="293" applyFont="1" applyFill="1" applyBorder="1" applyAlignment="1">
      <alignment horizontal="center"/>
    </xf>
    <xf numFmtId="0" fontId="35" fillId="0" borderId="0" xfId="293" applyFont="1" applyFill="1" applyBorder="1" applyAlignment="1">
      <alignment horizontal="center"/>
    </xf>
    <xf numFmtId="2" fontId="3" fillId="0" borderId="0" xfId="293" applyNumberFormat="1" applyBorder="1"/>
    <xf numFmtId="0" fontId="11" fillId="4" borderId="37" xfId="289" applyFont="1" applyFill="1" applyBorder="1" applyAlignment="1">
      <alignment vertical="center"/>
    </xf>
    <xf numFmtId="0" fontId="9" fillId="4" borderId="39" xfId="289" applyFill="1" applyBorder="1" applyAlignment="1">
      <alignment vertical="center"/>
    </xf>
    <xf numFmtId="0" fontId="11" fillId="4" borderId="32" xfId="289" applyFont="1" applyFill="1" applyBorder="1" applyAlignment="1">
      <alignment horizontal="center" vertical="center"/>
    </xf>
    <xf numFmtId="0" fontId="11" fillId="4" borderId="13" xfId="289" applyFont="1" applyFill="1" applyBorder="1" applyAlignment="1">
      <alignment horizontal="left" vertical="center" indent="1"/>
    </xf>
    <xf numFmtId="0" fontId="9" fillId="4" borderId="0" xfId="289" applyFill="1" applyBorder="1" applyAlignment="1">
      <alignment vertical="center"/>
    </xf>
    <xf numFmtId="0" fontId="11" fillId="4" borderId="1" xfId="289" applyFont="1" applyFill="1" applyBorder="1" applyAlignment="1">
      <alignment horizontal="center" vertical="center"/>
    </xf>
    <xf numFmtId="0" fontId="9" fillId="4" borderId="12" xfId="289" applyFill="1" applyBorder="1" applyAlignment="1">
      <alignment vertical="center"/>
    </xf>
    <xf numFmtId="0" fontId="9" fillId="4" borderId="4" xfId="289" applyFill="1" applyBorder="1" applyAlignment="1">
      <alignment vertical="center"/>
    </xf>
    <xf numFmtId="0" fontId="9" fillId="4" borderId="2" xfId="289" applyFill="1" applyBorder="1" applyAlignment="1">
      <alignment horizontal="center" vertical="center"/>
    </xf>
    <xf numFmtId="0" fontId="9" fillId="4" borderId="2" xfId="289" applyFont="1" applyFill="1" applyBorder="1" applyAlignment="1">
      <alignment horizontal="center" vertical="center"/>
    </xf>
    <xf numFmtId="0" fontId="9" fillId="4" borderId="25" xfId="289" applyFont="1" applyFill="1" applyBorder="1" applyAlignment="1">
      <alignment horizontal="left" vertical="center" indent="1"/>
    </xf>
    <xf numFmtId="0" fontId="9" fillId="4" borderId="28" xfId="289" applyFill="1" applyBorder="1" applyAlignment="1">
      <alignment vertical="center"/>
    </xf>
    <xf numFmtId="2" fontId="9" fillId="4" borderId="24" xfId="289" applyNumberFormat="1" applyFill="1" applyBorder="1" applyAlignment="1">
      <alignment horizontal="right" vertical="center" indent="1"/>
    </xf>
    <xf numFmtId="166" fontId="9" fillId="4" borderId="24" xfId="289" applyNumberFormat="1" applyFill="1" applyBorder="1" applyAlignment="1">
      <alignment horizontal="right" vertical="center" indent="1"/>
    </xf>
    <xf numFmtId="4" fontId="9" fillId="4" borderId="24" xfId="289" applyNumberFormat="1" applyFill="1" applyBorder="1" applyAlignment="1">
      <alignment horizontal="right" vertical="center" indent="1"/>
    </xf>
    <xf numFmtId="0" fontId="9" fillId="4" borderId="37" xfId="289" applyFill="1" applyBorder="1" applyAlignment="1">
      <alignment horizontal="center" vertical="center"/>
    </xf>
    <xf numFmtId="0" fontId="9" fillId="4" borderId="39" xfId="289" applyFont="1" applyFill="1" applyBorder="1" applyAlignment="1">
      <alignment vertical="center"/>
    </xf>
    <xf numFmtId="2" fontId="9" fillId="4" borderId="32" xfId="289" applyNumberFormat="1" applyFill="1" applyBorder="1" applyAlignment="1">
      <alignment horizontal="right" vertical="center" indent="1"/>
    </xf>
    <xf numFmtId="166" fontId="9" fillId="4" borderId="32" xfId="289" applyNumberFormat="1" applyFill="1" applyBorder="1" applyAlignment="1">
      <alignment horizontal="right" vertical="center" indent="1"/>
    </xf>
    <xf numFmtId="0" fontId="9" fillId="4" borderId="12" xfId="289" applyFill="1" applyBorder="1" applyAlignment="1">
      <alignment horizontal="center" vertical="center"/>
    </xf>
    <xf numFmtId="0" fontId="9" fillId="4" borderId="4" xfId="289" applyFont="1" applyFill="1" applyBorder="1" applyAlignment="1">
      <alignment vertical="center"/>
    </xf>
    <xf numFmtId="2" fontId="9" fillId="4" borderId="2" xfId="289" applyNumberFormat="1" applyFill="1" applyBorder="1" applyAlignment="1">
      <alignment horizontal="right" vertical="center" indent="1"/>
    </xf>
    <xf numFmtId="166" fontId="9" fillId="4" borderId="2" xfId="289" applyNumberFormat="1" applyFill="1" applyBorder="1" applyAlignment="1">
      <alignment horizontal="right" vertical="center" indent="1"/>
    </xf>
    <xf numFmtId="0" fontId="30" fillId="0" borderId="0" xfId="293" applyFont="1" applyBorder="1" applyAlignment="1">
      <alignment horizontal="center"/>
    </xf>
    <xf numFmtId="0" fontId="31" fillId="0" borderId="0" xfId="293" applyFont="1" applyBorder="1" applyAlignment="1">
      <alignment horizontal="center"/>
    </xf>
    <xf numFmtId="0" fontId="33" fillId="0" borderId="0" xfId="293" applyFont="1" applyBorder="1" applyAlignment="1">
      <alignment horizontal="left"/>
    </xf>
    <xf numFmtId="0" fontId="33" fillId="0" borderId="0" xfId="293" applyFont="1" applyBorder="1"/>
    <xf numFmtId="0" fontId="34" fillId="0" borderId="0" xfId="293" applyFont="1" applyBorder="1"/>
    <xf numFmtId="0" fontId="30" fillId="0" borderId="0" xfId="293" applyFont="1" applyFill="1" applyBorder="1"/>
    <xf numFmtId="0" fontId="38" fillId="0" borderId="0" xfId="293" applyFont="1" applyFill="1" applyBorder="1" applyAlignment="1">
      <alignment horizontal="right"/>
    </xf>
    <xf numFmtId="0" fontId="37" fillId="0" borderId="0" xfId="293" applyFont="1" applyFill="1" applyBorder="1"/>
    <xf numFmtId="0" fontId="35" fillId="0" borderId="0" xfId="293" applyFont="1" applyFill="1" applyBorder="1" applyAlignment="1">
      <alignment horizontal="right"/>
    </xf>
    <xf numFmtId="2" fontId="36" fillId="0" borderId="0" xfId="293" applyNumberFormat="1" applyFont="1" applyFill="1" applyBorder="1" applyAlignment="1" applyProtection="1">
      <alignment vertical="center"/>
      <protection locked="0"/>
    </xf>
    <xf numFmtId="2" fontId="36" fillId="0" borderId="0" xfId="293" applyNumberFormat="1" applyFont="1" applyFill="1" applyBorder="1" applyAlignment="1" applyProtection="1">
      <alignment horizontal="center" vertical="center"/>
      <protection locked="0"/>
    </xf>
    <xf numFmtId="0" fontId="3" fillId="0" borderId="0" xfId="293" applyFill="1" applyBorder="1"/>
    <xf numFmtId="0" fontId="31" fillId="0" borderId="0" xfId="293" applyFont="1" applyFill="1" applyBorder="1" applyAlignment="1">
      <alignment horizontal="center"/>
    </xf>
    <xf numFmtId="0" fontId="33" fillId="0" borderId="0" xfId="293" applyFont="1" applyFill="1" applyBorder="1" applyAlignment="1">
      <alignment horizontal="right"/>
    </xf>
    <xf numFmtId="0" fontId="33" fillId="0" borderId="0" xfId="293" quotePrefix="1" applyFont="1" applyFill="1" applyBorder="1" applyAlignment="1">
      <alignment horizontal="right"/>
    </xf>
    <xf numFmtId="0" fontId="0" fillId="4" borderId="37" xfId="0" applyFill="1" applyBorder="1" applyAlignment="1">
      <alignment horizontal="left" vertical="center" indent="1"/>
    </xf>
    <xf numFmtId="0" fontId="9" fillId="4" borderId="13" xfId="0" applyFont="1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164" fontId="0" fillId="4" borderId="39" xfId="0" applyNumberFormat="1" applyFill="1" applyBorder="1" applyAlignment="1">
      <alignment horizontal="right" vertical="center" indent="2"/>
    </xf>
    <xf numFmtId="164" fontId="0" fillId="4" borderId="4" xfId="0" applyNumberFormat="1" applyFill="1" applyBorder="1" applyAlignment="1">
      <alignment horizontal="right" vertical="center" indent="2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32" xfId="0" applyFill="1" applyBorder="1"/>
    <xf numFmtId="0" fontId="9" fillId="4" borderId="38" xfId="0" applyFont="1" applyFill="1" applyBorder="1"/>
    <xf numFmtId="0" fontId="9" fillId="4" borderId="3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9" fillId="4" borderId="39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9" fillId="4" borderId="39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0" fontId="8" fillId="4" borderId="36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2" fontId="8" fillId="4" borderId="24" xfId="0" applyNumberFormat="1" applyFont="1" applyFill="1" applyBorder="1" applyAlignment="1">
      <alignment horizontal="center" vertical="center"/>
    </xf>
    <xf numFmtId="4" fontId="21" fillId="4" borderId="24" xfId="0" applyNumberFormat="1" applyFont="1" applyFill="1" applyBorder="1" applyAlignment="1">
      <alignment horizontal="center" vertical="center"/>
    </xf>
    <xf numFmtId="4" fontId="21" fillId="4" borderId="18" xfId="0" applyNumberFormat="1" applyFont="1" applyFill="1" applyBorder="1" applyAlignment="1">
      <alignment horizontal="center" vertical="center"/>
    </xf>
    <xf numFmtId="4" fontId="21" fillId="4" borderId="29" xfId="0" applyNumberFormat="1" applyFont="1" applyFill="1" applyBorder="1" applyAlignment="1">
      <alignment horizontal="center" vertical="center"/>
    </xf>
    <xf numFmtId="2" fontId="21" fillId="4" borderId="18" xfId="0" applyNumberFormat="1" applyFont="1" applyFill="1" applyBorder="1" applyAlignment="1">
      <alignment horizontal="center" vertical="center"/>
    </xf>
    <xf numFmtId="2" fontId="21" fillId="4" borderId="20" xfId="0" applyNumberFormat="1" applyFont="1" applyFill="1" applyBorder="1" applyAlignment="1">
      <alignment horizontal="center" vertical="center"/>
    </xf>
    <xf numFmtId="2" fontId="21" fillId="4" borderId="24" xfId="0" applyNumberFormat="1" applyFont="1" applyFill="1" applyBorder="1" applyAlignment="1">
      <alignment horizontal="center" vertical="center"/>
    </xf>
    <xf numFmtId="2" fontId="21" fillId="4" borderId="29" xfId="0" applyNumberFormat="1" applyFont="1" applyFill="1" applyBorder="1" applyAlignment="1">
      <alignment horizontal="center" vertical="center"/>
    </xf>
    <xf numFmtId="2" fontId="19" fillId="0" borderId="37" xfId="0" applyNumberFormat="1" applyFont="1" applyFill="1" applyBorder="1" applyAlignment="1">
      <alignment vertical="center"/>
    </xf>
    <xf numFmtId="2" fontId="19" fillId="0" borderId="12" xfId="0" applyNumberFormat="1" applyFont="1" applyFill="1" applyBorder="1" applyAlignment="1">
      <alignment vertical="center"/>
    </xf>
    <xf numFmtId="2" fontId="19" fillId="0" borderId="3" xfId="0" applyNumberFormat="1" applyFont="1" applyFill="1" applyBorder="1" applyAlignment="1">
      <alignment vertical="center"/>
    </xf>
    <xf numFmtId="2" fontId="19" fillId="0" borderId="4" xfId="0" applyNumberFormat="1" applyFont="1" applyFill="1" applyBorder="1" applyAlignment="1">
      <alignment vertical="center"/>
    </xf>
    <xf numFmtId="2" fontId="19" fillId="0" borderId="39" xfId="0" applyNumberFormat="1" applyFont="1" applyFill="1" applyBorder="1" applyAlignment="1">
      <alignment vertical="center"/>
    </xf>
    <xf numFmtId="164" fontId="19" fillId="4" borderId="38" xfId="0" applyNumberFormat="1" applyFont="1" applyFill="1" applyBorder="1" applyAlignment="1">
      <alignment vertical="center"/>
    </xf>
    <xf numFmtId="2" fontId="19" fillId="4" borderId="38" xfId="0" applyNumberFormat="1" applyFont="1" applyFill="1" applyBorder="1" applyAlignment="1">
      <alignment vertical="center"/>
    </xf>
    <xf numFmtId="2" fontId="27" fillId="4" borderId="32" xfId="113" applyNumberFormat="1" applyFont="1" applyFill="1" applyBorder="1" applyAlignment="1">
      <alignment horizontal="right" indent="1"/>
    </xf>
    <xf numFmtId="2" fontId="27" fillId="4" borderId="32" xfId="114" applyNumberFormat="1" applyFont="1" applyFill="1" applyBorder="1" applyAlignment="1">
      <alignment horizontal="right" indent="1"/>
    </xf>
    <xf numFmtId="49" fontId="27" fillId="0" borderId="32" xfId="101" applyNumberFormat="1" applyFont="1" applyFill="1" applyBorder="1" applyAlignment="1">
      <alignment horizontal="center"/>
    </xf>
    <xf numFmtId="49" fontId="27" fillId="0" borderId="1" xfId="101" applyNumberFormat="1" applyFont="1" applyFill="1" applyBorder="1" applyAlignment="1">
      <alignment horizontal="center"/>
    </xf>
    <xf numFmtId="49" fontId="27" fillId="0" borderId="2" xfId="101" applyNumberFormat="1" applyFont="1" applyFill="1" applyBorder="1" applyAlignment="1">
      <alignment horizontal="center"/>
    </xf>
    <xf numFmtId="49" fontId="27" fillId="0" borderId="0" xfId="101" applyNumberFormat="1" applyFont="1" applyFill="1" applyBorder="1" applyAlignment="1">
      <alignment horizontal="center"/>
    </xf>
    <xf numFmtId="2" fontId="27" fillId="0" borderId="1" xfId="112" applyNumberFormat="1" applyFont="1" applyFill="1" applyBorder="1" applyAlignment="1">
      <alignment horizontal="right" indent="1"/>
    </xf>
    <xf numFmtId="2" fontId="27" fillId="0" borderId="32" xfId="113" applyNumberFormat="1" applyFont="1" applyFill="1" applyBorder="1" applyAlignment="1">
      <alignment horizontal="right" indent="1"/>
    </xf>
    <xf numFmtId="2" fontId="27" fillId="0" borderId="32" xfId="114" applyNumberFormat="1" applyFont="1" applyFill="1" applyBorder="1" applyAlignment="1">
      <alignment horizontal="right" indent="1"/>
    </xf>
    <xf numFmtId="2" fontId="27" fillId="0" borderId="1" xfId="113" applyNumberFormat="1" applyFont="1" applyFill="1" applyBorder="1" applyAlignment="1">
      <alignment horizontal="right" indent="1"/>
    </xf>
    <xf numFmtId="2" fontId="27" fillId="0" borderId="1" xfId="114" applyNumberFormat="1" applyFont="1" applyFill="1" applyBorder="1" applyAlignment="1">
      <alignment horizontal="right" indent="1"/>
    </xf>
    <xf numFmtId="2" fontId="27" fillId="0" borderId="2" xfId="112" applyNumberFormat="1" applyFont="1" applyFill="1" applyBorder="1" applyAlignment="1">
      <alignment horizontal="right" indent="1"/>
    </xf>
    <xf numFmtId="2" fontId="27" fillId="0" borderId="2" xfId="113" applyNumberFormat="1" applyFont="1" applyFill="1" applyBorder="1" applyAlignment="1">
      <alignment horizontal="right" indent="1"/>
    </xf>
    <xf numFmtId="2" fontId="27" fillId="0" borderId="2" xfId="114" applyNumberFormat="1" applyFont="1" applyFill="1" applyBorder="1" applyAlignment="1">
      <alignment horizontal="right" indent="1"/>
    </xf>
    <xf numFmtId="0" fontId="19" fillId="0" borderId="12" xfId="0" applyNumberFormat="1" applyFont="1" applyFill="1" applyBorder="1" applyAlignment="1">
      <alignment horizontal="center" vertical="center"/>
    </xf>
    <xf numFmtId="2" fontId="27" fillId="0" borderId="0" xfId="112" applyNumberFormat="1" applyFont="1" applyFill="1" applyBorder="1" applyAlignment="1">
      <alignment horizontal="right" indent="1"/>
    </xf>
    <xf numFmtId="2" fontId="27" fillId="0" borderId="0" xfId="113" applyNumberFormat="1" applyFont="1" applyFill="1" applyBorder="1" applyAlignment="1">
      <alignment horizontal="right" indent="1"/>
    </xf>
    <xf numFmtId="2" fontId="27" fillId="0" borderId="0" xfId="114" applyNumberFormat="1" applyFont="1" applyFill="1" applyBorder="1" applyAlignment="1">
      <alignment horizontal="right" indent="1"/>
    </xf>
    <xf numFmtId="2" fontId="27" fillId="0" borderId="32" xfId="112" applyNumberFormat="1" applyFont="1" applyFill="1" applyBorder="1" applyAlignment="1">
      <alignment horizontal="right" indent="1"/>
    </xf>
    <xf numFmtId="164" fontId="19" fillId="4" borderId="34" xfId="0" applyNumberFormat="1" applyFont="1" applyFill="1" applyBorder="1" applyAlignment="1">
      <alignment horizontal="right" vertical="center" indent="1" shrinkToFit="1"/>
    </xf>
    <xf numFmtId="2" fontId="19" fillId="0" borderId="10" xfId="0" applyNumberFormat="1" applyFont="1" applyFill="1" applyBorder="1" applyAlignment="1">
      <alignment vertical="center"/>
    </xf>
    <xf numFmtId="2" fontId="27" fillId="4" borderId="10" xfId="112" applyNumberFormat="1" applyFont="1" applyFill="1" applyBorder="1" applyAlignment="1">
      <alignment horizontal="right" indent="1"/>
    </xf>
    <xf numFmtId="2" fontId="27" fillId="4" borderId="10" xfId="113" applyNumberFormat="1" applyFont="1" applyFill="1" applyBorder="1" applyAlignment="1">
      <alignment horizontal="right" indent="1"/>
    </xf>
    <xf numFmtId="0" fontId="16" fillId="0" borderId="12" xfId="0" applyFont="1" applyFill="1" applyBorder="1" applyAlignment="1">
      <alignment horizontal="center" vertical="center"/>
    </xf>
    <xf numFmtId="2" fontId="27" fillId="4" borderId="32" xfId="112" applyNumberFormat="1" applyFont="1" applyFill="1" applyBorder="1" applyAlignment="1">
      <alignment horizontal="right" indent="1"/>
    </xf>
    <xf numFmtId="2" fontId="27" fillId="4" borderId="40" xfId="112" applyNumberFormat="1" applyFont="1" applyFill="1" applyBorder="1" applyAlignment="1">
      <alignment horizontal="right" indent="1"/>
    </xf>
    <xf numFmtId="0" fontId="27" fillId="4" borderId="40" xfId="93" applyFont="1" applyFill="1" applyBorder="1" applyAlignment="1">
      <alignment horizontal="left" indent="1"/>
    </xf>
    <xf numFmtId="49" fontId="27" fillId="4" borderId="40" xfId="101" applyNumberFormat="1" applyFont="1" applyFill="1" applyBorder="1" applyAlignment="1">
      <alignment horizontal="center"/>
    </xf>
    <xf numFmtId="2" fontId="27" fillId="4" borderId="40" xfId="113" applyNumberFormat="1" applyFont="1" applyFill="1" applyBorder="1" applyAlignment="1">
      <alignment horizontal="right" indent="1"/>
    </xf>
    <xf numFmtId="2" fontId="19" fillId="0" borderId="40" xfId="0" applyNumberFormat="1" applyFont="1" applyFill="1" applyBorder="1" applyAlignment="1">
      <alignment vertical="center"/>
    </xf>
    <xf numFmtId="2" fontId="27" fillId="4" borderId="40" xfId="114" applyNumberFormat="1" applyFont="1" applyFill="1" applyBorder="1" applyAlignment="1">
      <alignment horizontal="right" indent="1"/>
    </xf>
    <xf numFmtId="2" fontId="9" fillId="0" borderId="0" xfId="0" applyNumberFormat="1" applyFont="1"/>
    <xf numFmtId="2" fontId="16" fillId="4" borderId="32" xfId="0" quotePrefix="1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 vertical="center"/>
    </xf>
    <xf numFmtId="2" fontId="19" fillId="0" borderId="1" xfId="0" quotePrefix="1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2" fontId="19" fillId="4" borderId="34" xfId="0" quotePrefix="1" applyNumberFormat="1" applyFont="1" applyFill="1" applyBorder="1" applyAlignment="1">
      <alignment horizontal="center" vertical="center"/>
    </xf>
    <xf numFmtId="2" fontId="19" fillId="0" borderId="32" xfId="0" quotePrefix="1" applyNumberFormat="1" applyFont="1" applyFill="1" applyBorder="1" applyAlignment="1">
      <alignment horizontal="center" vertical="center"/>
    </xf>
    <xf numFmtId="2" fontId="19" fillId="0" borderId="3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19" fillId="0" borderId="2" xfId="0" quotePrefix="1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2" fontId="19" fillId="0" borderId="17" xfId="0" applyNumberFormat="1" applyFont="1" applyFill="1" applyBorder="1" applyAlignment="1">
      <alignment horizontal="center" vertical="center"/>
    </xf>
    <xf numFmtId="2" fontId="19" fillId="0" borderId="0" xfId="0" quotePrefix="1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/>
    <xf numFmtId="0" fontId="19" fillId="0" borderId="0" xfId="0" applyFont="1" applyAlignment="1"/>
    <xf numFmtId="2" fontId="1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/>
    <xf numFmtId="0" fontId="19" fillId="0" borderId="0" xfId="0" applyFont="1" applyBorder="1" applyAlignment="1"/>
    <xf numFmtId="0" fontId="19" fillId="0" borderId="0" xfId="0" applyFont="1" applyFill="1" applyBorder="1"/>
    <xf numFmtId="0" fontId="19" fillId="0" borderId="34" xfId="0" applyFont="1" applyBorder="1"/>
    <xf numFmtId="2" fontId="19" fillId="0" borderId="34" xfId="0" applyNumberFormat="1" applyFont="1" applyBorder="1" applyAlignment="1">
      <alignment horizontal="center"/>
    </xf>
    <xf numFmtId="0" fontId="19" fillId="0" borderId="35" xfId="0" applyFont="1" applyBorder="1"/>
    <xf numFmtId="2" fontId="19" fillId="0" borderId="32" xfId="0" applyNumberFormat="1" applyFont="1" applyBorder="1" applyAlignment="1">
      <alignment horizontal="center"/>
    </xf>
    <xf numFmtId="0" fontId="19" fillId="0" borderId="32" xfId="0" applyFont="1" applyBorder="1"/>
    <xf numFmtId="0" fontId="19" fillId="0" borderId="32" xfId="0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32" xfId="0" applyNumberFormat="1" applyFont="1" applyFill="1" applyBorder="1" applyAlignment="1">
      <alignment horizontal="center"/>
    </xf>
    <xf numFmtId="2" fontId="19" fillId="4" borderId="34" xfId="0" applyNumberFormat="1" applyFont="1" applyFill="1" applyBorder="1" applyAlignment="1">
      <alignment horizontal="center"/>
    </xf>
    <xf numFmtId="0" fontId="19" fillId="4" borderId="34" xfId="0" applyFont="1" applyFill="1" applyBorder="1"/>
    <xf numFmtId="0" fontId="19" fillId="4" borderId="35" xfId="0" applyFont="1" applyFill="1" applyBorder="1"/>
    <xf numFmtId="0" fontId="27" fillId="4" borderId="1" xfId="93" applyFont="1" applyFill="1" applyBorder="1" applyAlignment="1">
      <alignment horizontal="left" vertical="center" indent="1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Fill="1" applyBorder="1"/>
    <xf numFmtId="2" fontId="19" fillId="0" borderId="1" xfId="0" applyNumberFormat="1" applyFont="1" applyFill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Fill="1" applyBorder="1"/>
    <xf numFmtId="2" fontId="19" fillId="0" borderId="0" xfId="0" applyNumberFormat="1" applyFont="1" applyBorder="1" applyAlignment="1">
      <alignment horizontal="center"/>
    </xf>
    <xf numFmtId="2" fontId="19" fillId="0" borderId="40" xfId="0" applyNumberFormat="1" applyFont="1" applyBorder="1" applyAlignment="1">
      <alignment horizontal="center"/>
    </xf>
    <xf numFmtId="0" fontId="19" fillId="0" borderId="40" xfId="0" applyFont="1" applyBorder="1"/>
    <xf numFmtId="2" fontId="27" fillId="0" borderId="13" xfId="113" applyNumberFormat="1" applyFont="1" applyFill="1" applyBorder="1" applyAlignment="1">
      <alignment horizontal="right" indent="1"/>
    </xf>
    <xf numFmtId="2" fontId="27" fillId="0" borderId="37" xfId="113" applyNumberFormat="1" applyFont="1" applyFill="1" applyBorder="1" applyAlignment="1">
      <alignment horizontal="right" indent="1"/>
    </xf>
    <xf numFmtId="2" fontId="27" fillId="0" borderId="12" xfId="113" applyNumberFormat="1" applyFont="1" applyFill="1" applyBorder="1" applyAlignment="1">
      <alignment horizontal="right" indent="1"/>
    </xf>
    <xf numFmtId="0" fontId="19" fillId="4" borderId="36" xfId="0" applyFont="1" applyFill="1" applyBorder="1"/>
    <xf numFmtId="2" fontId="27" fillId="0" borderId="38" xfId="114" applyNumberFormat="1" applyFont="1" applyFill="1" applyBorder="1" applyAlignment="1">
      <alignment horizontal="right" indent="1"/>
    </xf>
    <xf numFmtId="2" fontId="27" fillId="0" borderId="36" xfId="114" applyNumberFormat="1" applyFont="1" applyFill="1" applyBorder="1" applyAlignment="1">
      <alignment horizontal="right" indent="1"/>
    </xf>
    <xf numFmtId="0" fontId="19" fillId="0" borderId="4" xfId="0" applyFont="1" applyFill="1" applyBorder="1"/>
    <xf numFmtId="0" fontId="19" fillId="0" borderId="39" xfId="0" applyFont="1" applyFill="1" applyBorder="1"/>
    <xf numFmtId="0" fontId="19" fillId="0" borderId="3" xfId="0" applyFont="1" applyFill="1" applyBorder="1"/>
    <xf numFmtId="2" fontId="19" fillId="0" borderId="37" xfId="0" quotePrefix="1" applyNumberFormat="1" applyFont="1" applyFill="1" applyBorder="1" applyAlignment="1">
      <alignment horizontal="center" vertical="center"/>
    </xf>
    <xf numFmtId="2" fontId="27" fillId="0" borderId="39" xfId="112" applyNumberFormat="1" applyFont="1" applyFill="1" applyBorder="1" applyAlignment="1">
      <alignment horizontal="right" indent="1"/>
    </xf>
    <xf numFmtId="2" fontId="19" fillId="0" borderId="13" xfId="0" quotePrefix="1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 vertical="center"/>
    </xf>
    <xf numFmtId="2" fontId="27" fillId="0" borderId="3" xfId="112" applyNumberFormat="1" applyFont="1" applyFill="1" applyBorder="1" applyAlignment="1">
      <alignment horizontal="right" indent="1"/>
    </xf>
    <xf numFmtId="2" fontId="27" fillId="0" borderId="4" xfId="112" applyNumberFormat="1" applyFont="1" applyFill="1" applyBorder="1" applyAlignment="1">
      <alignment horizontal="right" indent="1"/>
    </xf>
    <xf numFmtId="2" fontId="19" fillId="4" borderId="36" xfId="0" applyNumberFormat="1" applyFont="1" applyFill="1" applyBorder="1" applyAlignment="1">
      <alignment vertical="center"/>
    </xf>
    <xf numFmtId="2" fontId="11" fillId="4" borderId="32" xfId="7" applyNumberFormat="1" applyFont="1" applyFill="1" applyBorder="1" applyAlignment="1">
      <alignment horizontal="center" vertical="center"/>
    </xf>
    <xf numFmtId="2" fontId="9" fillId="4" borderId="2" xfId="7" applyNumberFormat="1" applyFont="1" applyFill="1" applyBorder="1" applyAlignment="1">
      <alignment horizontal="center" vertical="center"/>
    </xf>
    <xf numFmtId="2" fontId="9" fillId="4" borderId="32" xfId="7" applyNumberFormat="1" applyFont="1" applyFill="1" applyBorder="1" applyAlignment="1">
      <alignment horizontal="center" vertical="center"/>
    </xf>
    <xf numFmtId="0" fontId="9" fillId="4" borderId="2" xfId="7" applyNumberFormat="1" applyFont="1" applyFill="1" applyBorder="1" applyAlignment="1">
      <alignment horizontal="center" vertical="center"/>
    </xf>
    <xf numFmtId="0" fontId="9" fillId="4" borderId="1" xfId="7" applyNumberFormat="1" applyFont="1" applyFill="1" applyBorder="1" applyAlignment="1">
      <alignment horizontal="center" vertical="center"/>
    </xf>
    <xf numFmtId="0" fontId="9" fillId="4" borderId="32" xfId="7" applyNumberFormat="1" applyFont="1" applyFill="1" applyBorder="1" applyAlignment="1">
      <alignment horizontal="center" vertical="center"/>
    </xf>
    <xf numFmtId="2" fontId="19" fillId="4" borderId="34" xfId="0" applyNumberFormat="1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shrinkToFit="1"/>
    </xf>
    <xf numFmtId="164" fontId="27" fillId="4" borderId="1" xfId="101" applyNumberFormat="1" applyFont="1" applyFill="1" applyBorder="1" applyAlignment="1">
      <alignment horizontal="center"/>
    </xf>
    <xf numFmtId="164" fontId="27" fillId="4" borderId="32" xfId="101" applyNumberFormat="1" applyFont="1" applyFill="1" applyBorder="1" applyAlignment="1">
      <alignment horizontal="center"/>
    </xf>
    <xf numFmtId="164" fontId="27" fillId="4" borderId="2" xfId="101" applyNumberFormat="1" applyFont="1" applyFill="1" applyBorder="1" applyAlignment="1">
      <alignment horizontal="center"/>
    </xf>
    <xf numFmtId="164" fontId="0" fillId="4" borderId="32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27" fillId="4" borderId="1" xfId="101" applyNumberFormat="1" applyFont="1" applyFill="1" applyBorder="1" applyAlignment="1">
      <alignment horizontal="center"/>
    </xf>
    <xf numFmtId="2" fontId="27" fillId="4" borderId="32" xfId="101" applyNumberFormat="1" applyFont="1" applyFill="1" applyBorder="1" applyAlignment="1">
      <alignment horizontal="center"/>
    </xf>
    <xf numFmtId="2" fontId="27" fillId="4" borderId="2" xfId="101" applyNumberFormat="1" applyFont="1" applyFill="1" applyBorder="1" applyAlignment="1">
      <alignment horizontal="center"/>
    </xf>
    <xf numFmtId="2" fontId="0" fillId="4" borderId="32" xfId="0" applyNumberFormat="1" applyFill="1" applyBorder="1" applyAlignment="1">
      <alignment horizontal="center"/>
    </xf>
    <xf numFmtId="2" fontId="19" fillId="0" borderId="2" xfId="0" applyNumberFormat="1" applyFont="1" applyFill="1" applyBorder="1"/>
    <xf numFmtId="4" fontId="9" fillId="4" borderId="12" xfId="289" applyNumberFormat="1" applyFill="1" applyBorder="1" applyAlignment="1">
      <alignment horizontal="right" vertical="center" indent="1"/>
    </xf>
    <xf numFmtId="4" fontId="9" fillId="4" borderId="37" xfId="289" applyNumberFormat="1" applyFill="1" applyBorder="1" applyAlignment="1">
      <alignment horizontal="right" vertical="center" indent="1"/>
    </xf>
    <xf numFmtId="2" fontId="19" fillId="0" borderId="13" xfId="0" applyNumberFormat="1" applyFont="1" applyFill="1" applyBorder="1" applyAlignment="1">
      <alignment horizontal="center"/>
    </xf>
    <xf numFmtId="2" fontId="19" fillId="0" borderId="4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/>
    </xf>
    <xf numFmtId="2" fontId="35" fillId="0" borderId="43" xfId="0" applyNumberFormat="1" applyFont="1" applyFill="1" applyBorder="1" applyAlignment="1">
      <alignment horizontal="center"/>
    </xf>
    <xf numFmtId="0" fontId="35" fillId="0" borderId="44" xfId="0" applyFont="1" applyFill="1" applyBorder="1" applyAlignment="1">
      <alignment horizontal="center"/>
    </xf>
    <xf numFmtId="2" fontId="35" fillId="0" borderId="45" xfId="0" applyNumberFormat="1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/>
    </xf>
    <xf numFmtId="2" fontId="35" fillId="0" borderId="47" xfId="0" applyNumberFormat="1" applyFont="1" applyFill="1" applyBorder="1" applyAlignment="1">
      <alignment horizontal="center"/>
    </xf>
    <xf numFmtId="0" fontId="2" fillId="0" borderId="0" xfId="293" applyFont="1"/>
    <xf numFmtId="2" fontId="0" fillId="0" borderId="0" xfId="0" applyNumberFormat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2" fontId="19" fillId="0" borderId="0" xfId="0" applyNumberFormat="1" applyFont="1" applyFill="1" applyBorder="1"/>
    <xf numFmtId="0" fontId="42" fillId="4" borderId="0" xfId="0" applyFont="1" applyFill="1"/>
    <xf numFmtId="0" fontId="9" fillId="4" borderId="0" xfId="0" applyFont="1" applyFill="1"/>
    <xf numFmtId="1" fontId="8" fillId="4" borderId="24" xfId="0" applyNumberFormat="1" applyFont="1" applyFill="1" applyBorder="1" applyAlignment="1">
      <alignment horizontal="center" vertical="center"/>
    </xf>
    <xf numFmtId="1" fontId="21" fillId="4" borderId="18" xfId="0" applyNumberFormat="1" applyFont="1" applyFill="1" applyBorder="1" applyAlignment="1">
      <alignment horizontal="center" vertical="center"/>
    </xf>
    <xf numFmtId="1" fontId="21" fillId="4" borderId="20" xfId="0" applyNumberFormat="1" applyFont="1" applyFill="1" applyBorder="1" applyAlignment="1">
      <alignment horizontal="center" vertical="center"/>
    </xf>
    <xf numFmtId="1" fontId="21" fillId="4" borderId="24" xfId="0" applyNumberFormat="1" applyFont="1" applyFill="1" applyBorder="1" applyAlignment="1">
      <alignment horizontal="center" vertical="center"/>
    </xf>
    <xf numFmtId="1" fontId="21" fillId="4" borderId="29" xfId="0" applyNumberFormat="1" applyFont="1" applyFill="1" applyBorder="1" applyAlignment="1">
      <alignment horizontal="center" vertical="center"/>
    </xf>
    <xf numFmtId="3" fontId="21" fillId="4" borderId="2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0" fillId="0" borderId="10" xfId="0" applyFill="1" applyBorder="1"/>
    <xf numFmtId="0" fontId="9" fillId="0" borderId="10" xfId="0" applyFont="1" applyFill="1" applyBorder="1"/>
    <xf numFmtId="0" fontId="11" fillId="4" borderId="8" xfId="0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4" fontId="21" fillId="4" borderId="34" xfId="0" applyNumberFormat="1" applyFont="1" applyFill="1" applyBorder="1" applyAlignment="1">
      <alignment horizontal="center"/>
    </xf>
    <xf numFmtId="2" fontId="19" fillId="0" borderId="4" xfId="0" applyNumberFormat="1" applyFont="1" applyFill="1" applyBorder="1"/>
    <xf numFmtId="2" fontId="19" fillId="0" borderId="2" xfId="0" applyNumberFormat="1" applyFont="1" applyBorder="1"/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7" fillId="0" borderId="32" xfId="93" applyFont="1" applyFill="1" applyBorder="1" applyAlignment="1">
      <alignment horizontal="left" indent="1"/>
    </xf>
    <xf numFmtId="0" fontId="27" fillId="0" borderId="1" xfId="93" applyFont="1" applyFill="1" applyBorder="1" applyAlignment="1">
      <alignment horizontal="left" indent="1"/>
    </xf>
    <xf numFmtId="2" fontId="19" fillId="0" borderId="1" xfId="297" applyNumberFormat="1" applyFont="1" applyFill="1" applyBorder="1" applyAlignment="1">
      <alignment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9" fontId="32" fillId="0" borderId="0" xfId="293" applyNumberFormat="1" applyFont="1" applyAlignment="1">
      <alignment horizontal="center"/>
    </xf>
    <xf numFmtId="0" fontId="3" fillId="0" borderId="0" xfId="293" applyAlignment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left" vertical="center" indent="1"/>
    </xf>
    <xf numFmtId="0" fontId="20" fillId="4" borderId="12" xfId="0" applyFont="1" applyFill="1" applyBorder="1" applyAlignment="1">
      <alignment horizontal="left" vertical="center" indent="1"/>
    </xf>
    <xf numFmtId="0" fontId="20" fillId="4" borderId="11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1" fontId="21" fillId="4" borderId="23" xfId="0" applyNumberFormat="1" applyFont="1" applyFill="1" applyBorder="1" applyAlignment="1">
      <alignment horizontal="center" vertical="center"/>
    </xf>
    <xf numFmtId="1" fontId="21" fillId="4" borderId="21" xfId="0" applyNumberFormat="1" applyFont="1" applyFill="1" applyBorder="1" applyAlignment="1">
      <alignment horizontal="center" vertical="center"/>
    </xf>
    <xf numFmtId="2" fontId="21" fillId="4" borderId="22" xfId="0" applyNumberFormat="1" applyFont="1" applyFill="1" applyBorder="1" applyAlignment="1">
      <alignment horizontal="center" vertical="center"/>
    </xf>
    <xf numFmtId="2" fontId="21" fillId="4" borderId="19" xfId="0" applyNumberFormat="1" applyFont="1" applyFill="1" applyBorder="1" applyAlignment="1">
      <alignment horizontal="center" vertical="center"/>
    </xf>
    <xf numFmtId="166" fontId="21" fillId="4" borderId="23" xfId="0" applyNumberFormat="1" applyFont="1" applyFill="1" applyBorder="1" applyAlignment="1">
      <alignment horizontal="center" vertical="center"/>
    </xf>
    <xf numFmtId="166" fontId="21" fillId="4" borderId="21" xfId="0" applyNumberFormat="1" applyFont="1" applyFill="1" applyBorder="1" applyAlignment="1">
      <alignment horizontal="center" vertical="center"/>
    </xf>
    <xf numFmtId="4" fontId="21" fillId="4" borderId="23" xfId="0" applyNumberFormat="1" applyFont="1" applyFill="1" applyBorder="1" applyAlignment="1">
      <alignment horizontal="center" vertical="center"/>
    </xf>
    <xf numFmtId="4" fontId="21" fillId="4" borderId="21" xfId="0" applyNumberFormat="1" applyFont="1" applyFill="1" applyBorder="1" applyAlignment="1">
      <alignment horizontal="center" vertical="center"/>
    </xf>
    <xf numFmtId="2" fontId="21" fillId="4" borderId="23" xfId="0" applyNumberFormat="1" applyFont="1" applyFill="1" applyBorder="1" applyAlignment="1">
      <alignment horizontal="center" vertical="center"/>
    </xf>
    <xf numFmtId="2" fontId="21" fillId="4" borderId="21" xfId="0" applyNumberFormat="1" applyFont="1" applyFill="1" applyBorder="1" applyAlignment="1">
      <alignment horizontal="center" vertical="center"/>
    </xf>
    <xf numFmtId="166" fontId="21" fillId="4" borderId="30" xfId="0" applyNumberFormat="1" applyFont="1" applyFill="1" applyBorder="1" applyAlignment="1">
      <alignment horizontal="center" vertical="center"/>
    </xf>
    <xf numFmtId="166" fontId="21" fillId="4" borderId="31" xfId="0" applyNumberFormat="1" applyFont="1" applyFill="1" applyBorder="1" applyAlignment="1">
      <alignment horizontal="center" vertical="center"/>
    </xf>
    <xf numFmtId="1" fontId="21" fillId="4" borderId="30" xfId="0" applyNumberFormat="1" applyFont="1" applyFill="1" applyBorder="1" applyAlignment="1">
      <alignment horizontal="center" vertical="center"/>
    </xf>
    <xf numFmtId="1" fontId="21" fillId="4" borderId="31" xfId="0" applyNumberFormat="1" applyFont="1" applyFill="1" applyBorder="1" applyAlignment="1">
      <alignment horizontal="center" vertical="center"/>
    </xf>
    <xf numFmtId="2" fontId="21" fillId="4" borderId="30" xfId="0" applyNumberFormat="1" applyFont="1" applyFill="1" applyBorder="1" applyAlignment="1">
      <alignment horizontal="center" vertical="center"/>
    </xf>
    <xf numFmtId="2" fontId="21" fillId="4" borderId="31" xfId="0" applyNumberFormat="1" applyFont="1" applyFill="1" applyBorder="1" applyAlignment="1">
      <alignment horizontal="center" vertical="center"/>
    </xf>
    <xf numFmtId="4" fontId="21" fillId="4" borderId="30" xfId="0" applyNumberFormat="1" applyFont="1" applyFill="1" applyBorder="1" applyAlignment="1">
      <alignment horizontal="center" vertical="center"/>
    </xf>
    <xf numFmtId="4" fontId="21" fillId="4" borderId="31" xfId="0" applyNumberFormat="1" applyFont="1" applyFill="1" applyBorder="1" applyAlignment="1">
      <alignment horizontal="center" vertical="center"/>
    </xf>
    <xf numFmtId="3" fontId="21" fillId="4" borderId="23" xfId="0" applyNumberFormat="1" applyFont="1" applyFill="1" applyBorder="1" applyAlignment="1">
      <alignment horizontal="center" vertical="center"/>
    </xf>
    <xf numFmtId="3" fontId="21" fillId="4" borderId="21" xfId="0" applyNumberFormat="1" applyFont="1" applyFill="1" applyBorder="1" applyAlignment="1">
      <alignment horizontal="center" vertical="center"/>
    </xf>
    <xf numFmtId="4" fontId="21" fillId="4" borderId="22" xfId="0" applyNumberFormat="1" applyFont="1" applyFill="1" applyBorder="1" applyAlignment="1">
      <alignment horizontal="center" vertical="center"/>
    </xf>
    <xf numFmtId="4" fontId="21" fillId="4" borderId="19" xfId="0" applyNumberFormat="1" applyFont="1" applyFill="1" applyBorder="1" applyAlignment="1">
      <alignment horizontal="center" vertical="center"/>
    </xf>
    <xf numFmtId="166" fontId="21" fillId="4" borderId="30" xfId="0" applyNumberFormat="1" applyFont="1" applyFill="1" applyBorder="1" applyAlignment="1">
      <alignment vertical="center"/>
    </xf>
    <xf numFmtId="166" fontId="21" fillId="4" borderId="31" xfId="0" applyNumberFormat="1" applyFont="1" applyFill="1" applyBorder="1" applyAlignment="1">
      <alignment vertical="center"/>
    </xf>
    <xf numFmtId="4" fontId="21" fillId="4" borderId="25" xfId="0" applyNumberFormat="1" applyFont="1" applyFill="1" applyBorder="1" applyAlignment="1">
      <alignment vertical="center"/>
    </xf>
    <xf numFmtId="4" fontId="21" fillId="4" borderId="28" xfId="0" applyNumberFormat="1" applyFont="1" applyFill="1" applyBorder="1" applyAlignment="1">
      <alignment vertical="center"/>
    </xf>
    <xf numFmtId="166" fontId="21" fillId="4" borderId="25" xfId="0" applyNumberFormat="1" applyFont="1" applyFill="1" applyBorder="1" applyAlignment="1">
      <alignment vertical="center"/>
    </xf>
    <xf numFmtId="166" fontId="21" fillId="4" borderId="28" xfId="0" applyNumberFormat="1" applyFont="1" applyFill="1" applyBorder="1" applyAlignment="1">
      <alignment vertical="center"/>
    </xf>
    <xf numFmtId="1" fontId="21" fillId="4" borderId="25" xfId="0" applyNumberFormat="1" applyFont="1" applyFill="1" applyBorder="1" applyAlignment="1">
      <alignment horizontal="center" vertical="center"/>
    </xf>
    <xf numFmtId="1" fontId="21" fillId="4" borderId="28" xfId="0" applyNumberFormat="1" applyFont="1" applyFill="1" applyBorder="1" applyAlignment="1">
      <alignment horizontal="center" vertical="center"/>
    </xf>
    <xf numFmtId="2" fontId="21" fillId="4" borderId="25" xfId="0" applyNumberFormat="1" applyFont="1" applyFill="1" applyBorder="1" applyAlignment="1">
      <alignment horizontal="center" vertical="center"/>
    </xf>
    <xf numFmtId="2" fontId="21" fillId="4" borderId="28" xfId="0" applyNumberFormat="1" applyFont="1" applyFill="1" applyBorder="1" applyAlignment="1">
      <alignment horizontal="center" vertical="center"/>
    </xf>
    <xf numFmtId="166" fontId="21" fillId="4" borderId="25" xfId="0" applyNumberFormat="1" applyFont="1" applyFill="1" applyBorder="1" applyAlignment="1">
      <alignment horizontal="center" vertical="center"/>
    </xf>
    <xf numFmtId="166" fontId="21" fillId="4" borderId="28" xfId="0" applyNumberFormat="1" applyFont="1" applyFill="1" applyBorder="1" applyAlignment="1">
      <alignment horizontal="center" vertical="center"/>
    </xf>
    <xf numFmtId="4" fontId="21" fillId="4" borderId="25" xfId="0" applyNumberFormat="1" applyFont="1" applyFill="1" applyBorder="1" applyAlignment="1">
      <alignment horizontal="center" vertical="center"/>
    </xf>
    <xf numFmtId="4" fontId="21" fillId="4" borderId="28" xfId="0" applyNumberFormat="1" applyFont="1" applyFill="1" applyBorder="1" applyAlignment="1">
      <alignment horizontal="center" vertical="center"/>
    </xf>
    <xf numFmtId="4" fontId="21" fillId="4" borderId="23" xfId="0" applyNumberFormat="1" applyFont="1" applyFill="1" applyBorder="1" applyAlignment="1">
      <alignment vertical="center"/>
    </xf>
    <xf numFmtId="4" fontId="21" fillId="4" borderId="21" xfId="0" applyNumberFormat="1" applyFont="1" applyFill="1" applyBorder="1" applyAlignment="1">
      <alignment vertical="center"/>
    </xf>
    <xf numFmtId="166" fontId="21" fillId="4" borderId="22" xfId="0" applyNumberFormat="1" applyFont="1" applyFill="1" applyBorder="1" applyAlignment="1">
      <alignment vertical="center"/>
    </xf>
    <xf numFmtId="166" fontId="21" fillId="4" borderId="19" xfId="0" applyNumberFormat="1" applyFont="1" applyFill="1" applyBorder="1" applyAlignment="1">
      <alignment vertical="center"/>
    </xf>
    <xf numFmtId="1" fontId="21" fillId="4" borderId="25" xfId="295" applyNumberFormat="1" applyFont="1" applyFill="1" applyBorder="1" applyAlignment="1">
      <alignment horizontal="center" vertical="center"/>
    </xf>
    <xf numFmtId="1" fontId="21" fillId="4" borderId="28" xfId="295" applyNumberFormat="1" applyFont="1" applyFill="1" applyBorder="1" applyAlignment="1">
      <alignment horizontal="center" vertical="center"/>
    </xf>
    <xf numFmtId="2" fontId="8" fillId="4" borderId="25" xfId="0" applyNumberFormat="1" applyFont="1" applyFill="1" applyBorder="1" applyAlignment="1">
      <alignment horizontal="center" vertical="center"/>
    </xf>
    <xf numFmtId="2" fontId="8" fillId="4" borderId="28" xfId="0" applyNumberFormat="1" applyFont="1" applyFill="1" applyBorder="1" applyAlignment="1">
      <alignment horizontal="center" vertical="center"/>
    </xf>
    <xf numFmtId="4" fontId="21" fillId="4" borderId="22" xfId="0" applyNumberFormat="1" applyFont="1" applyFill="1" applyBorder="1" applyAlignment="1">
      <alignment vertical="center"/>
    </xf>
    <xf numFmtId="4" fontId="21" fillId="4" borderId="19" xfId="0" applyNumberFormat="1" applyFont="1" applyFill="1" applyBorder="1" applyAlignment="1">
      <alignment vertical="center"/>
    </xf>
    <xf numFmtId="1" fontId="21" fillId="4" borderId="22" xfId="0" applyNumberFormat="1" applyFont="1" applyFill="1" applyBorder="1" applyAlignment="1">
      <alignment horizontal="center" vertical="center"/>
    </xf>
    <xf numFmtId="1" fontId="21" fillId="4" borderId="19" xfId="0" applyNumberFormat="1" applyFont="1" applyFill="1" applyBorder="1" applyAlignment="1">
      <alignment horizontal="center" vertical="center"/>
    </xf>
    <xf numFmtId="1" fontId="21" fillId="4" borderId="22" xfId="295" applyNumberFormat="1" applyFont="1" applyFill="1" applyBorder="1" applyAlignment="1">
      <alignment horizontal="center" vertical="center"/>
    </xf>
    <xf numFmtId="1" fontId="21" fillId="4" borderId="19" xfId="295" applyNumberFormat="1" applyFont="1" applyFill="1" applyBorder="1" applyAlignment="1">
      <alignment horizontal="center" vertical="center"/>
    </xf>
    <xf numFmtId="165" fontId="21" fillId="4" borderId="25" xfId="0" applyNumberFormat="1" applyFont="1" applyFill="1" applyBorder="1" applyAlignment="1">
      <alignment vertical="center"/>
    </xf>
    <xf numFmtId="165" fontId="21" fillId="4" borderId="28" xfId="0" applyNumberFormat="1" applyFont="1" applyFill="1" applyBorder="1" applyAlignment="1">
      <alignment vertical="center"/>
    </xf>
    <xf numFmtId="2" fontId="8" fillId="4" borderId="25" xfId="0" applyNumberFormat="1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</cellXfs>
  <cellStyles count="360">
    <cellStyle name="Comma" xfId="295" builtinId="3"/>
    <cellStyle name="Comma 2" xfId="359"/>
    <cellStyle name="Normal" xfId="0" builtinId="0"/>
    <cellStyle name="Normal 10" xfId="10"/>
    <cellStyle name="Normal 100" xfId="167"/>
    <cellStyle name="Normal 101" xfId="168"/>
    <cellStyle name="Normal 102" xfId="169"/>
    <cellStyle name="Normal 103" xfId="172"/>
    <cellStyle name="Normal 104" xfId="270"/>
    <cellStyle name="Normal 105" xfId="267"/>
    <cellStyle name="Normal 106" xfId="237"/>
    <cellStyle name="Normal 107" xfId="206"/>
    <cellStyle name="Normal 108" xfId="276"/>
    <cellStyle name="Normal 109" xfId="281"/>
    <cellStyle name="Normal 11" xfId="11"/>
    <cellStyle name="Normal 110" xfId="285"/>
    <cellStyle name="Normal 111" xfId="289"/>
    <cellStyle name="Normal 112" xfId="293"/>
    <cellStyle name="Normal 112 2" xfId="358"/>
    <cellStyle name="Normal 113" xfId="297"/>
    <cellStyle name="Normal 114" xfId="296"/>
    <cellStyle name="Normal 12" xfId="12"/>
    <cellStyle name="Normal 13" xfId="13"/>
    <cellStyle name="Normal 14" xfId="14"/>
    <cellStyle name="Normal 15" xfId="75"/>
    <cellStyle name="Normal 16" xfId="15"/>
    <cellStyle name="Normal 17" xfId="87"/>
    <cellStyle name="Normal 18" xfId="170"/>
    <cellStyle name="Normal 18 2" xfId="290"/>
    <cellStyle name="Normal 19" xfId="92"/>
    <cellStyle name="Normal 19 2" xfId="291"/>
    <cellStyle name="Normal 2" xfId="1"/>
    <cellStyle name="Normal 2 10" xfId="17"/>
    <cellStyle name="Normal 2 11" xfId="18"/>
    <cellStyle name="Normal 2 12" xfId="19"/>
    <cellStyle name="Normal 2 13" xfId="20"/>
    <cellStyle name="Normal 2 14" xfId="21"/>
    <cellStyle name="Normal 2 15" xfId="22"/>
    <cellStyle name="Normal 2 16" xfId="23"/>
    <cellStyle name="Normal 2 17" xfId="24"/>
    <cellStyle name="Normal 2 18" xfId="25"/>
    <cellStyle name="Normal 2 19" xfId="26"/>
    <cellStyle name="Normal 2 2" xfId="16"/>
    <cellStyle name="Normal 2 2 10" xfId="260"/>
    <cellStyle name="Normal 2 2 11" xfId="248"/>
    <cellStyle name="Normal 2 2 12" xfId="254"/>
    <cellStyle name="Normal 2 2 13" xfId="243"/>
    <cellStyle name="Normal 2 2 14" xfId="269"/>
    <cellStyle name="Normal 2 2 15" xfId="239"/>
    <cellStyle name="Normal 2 2 16" xfId="178"/>
    <cellStyle name="Normal 2 2 17" xfId="277"/>
    <cellStyle name="Normal 2 2 18" xfId="271"/>
    <cellStyle name="Normal 2 2 19" xfId="176"/>
    <cellStyle name="Normal 2 2 2" xfId="27"/>
    <cellStyle name="Normal 2 2 2 10" xfId="240"/>
    <cellStyle name="Normal 2 2 2 11" xfId="177"/>
    <cellStyle name="Normal 2 2 2 12" xfId="279"/>
    <cellStyle name="Normal 2 2 2 13" xfId="205"/>
    <cellStyle name="Normal 2 2 2 14" xfId="229"/>
    <cellStyle name="Normal 2 2 2 15" xfId="199"/>
    <cellStyle name="Normal 2 2 2 16" xfId="280"/>
    <cellStyle name="Normal 2 2 2 17" xfId="284"/>
    <cellStyle name="Normal 2 2 2 2" xfId="179"/>
    <cellStyle name="Normal 2 2 2 2 10" xfId="244"/>
    <cellStyle name="Normal 2 2 2 2 2" xfId="183"/>
    <cellStyle name="Normal 2 2 2 2 3" xfId="196"/>
    <cellStyle name="Normal 2 2 2 2 4" xfId="230"/>
    <cellStyle name="Normal 2 2 2 2 5" xfId="184"/>
    <cellStyle name="Normal 2 2 2 2 6" xfId="201"/>
    <cellStyle name="Normal 2 2 2 2 7" xfId="185"/>
    <cellStyle name="Normal 2 2 2 2 8" xfId="224"/>
    <cellStyle name="Normal 2 2 2 2 9" xfId="227"/>
    <cellStyle name="Normal 2 2 2 3" xfId="251"/>
    <cellStyle name="Normal 2 2 2 4" xfId="253"/>
    <cellStyle name="Normal 2 2 2 5" xfId="257"/>
    <cellStyle name="Normal 2 2 2 6" xfId="252"/>
    <cellStyle name="Normal 2 2 2 7" xfId="255"/>
    <cellStyle name="Normal 2 2 2 8" xfId="258"/>
    <cellStyle name="Normal 2 2 2 9" xfId="256"/>
    <cellStyle name="Normal 2 2 20" xfId="211"/>
    <cellStyle name="Normal 2 2 3" xfId="71"/>
    <cellStyle name="Normal 2 2 4" xfId="78"/>
    <cellStyle name="Normal 2 2 5" xfId="83"/>
    <cellStyle name="Normal 2 2 6" xfId="171"/>
    <cellStyle name="Normal 2 2 6 10" xfId="235"/>
    <cellStyle name="Normal 2 2 6 2" xfId="250"/>
    <cellStyle name="Normal 2 2 6 2 2" xfId="292"/>
    <cellStyle name="Normal 2 2 6 3" xfId="275"/>
    <cellStyle name="Normal 2 2 6 4" xfId="272"/>
    <cellStyle name="Normal 2 2 6 5" xfId="223"/>
    <cellStyle name="Normal 2 2 6 6" xfId="212"/>
    <cellStyle name="Normal 2 2 6 7" xfId="219"/>
    <cellStyle name="Normal 2 2 6 8" xfId="190"/>
    <cellStyle name="Normal 2 2 6 9" xfId="193"/>
    <cellStyle name="Normal 2 2 7" xfId="259"/>
    <cellStyle name="Normal 2 2 8" xfId="249"/>
    <cellStyle name="Normal 2 2 9" xfId="247"/>
    <cellStyle name="Normal 2 20" xfId="28"/>
    <cellStyle name="Normal 2 21" xfId="29"/>
    <cellStyle name="Normal 2 22" xfId="30"/>
    <cellStyle name="Normal 2 23" xfId="31"/>
    <cellStyle name="Normal 2 24" xfId="32"/>
    <cellStyle name="Normal 2 25" xfId="33"/>
    <cellStyle name="Normal 2 26" xfId="70"/>
    <cellStyle name="Normal 2 27" xfId="77"/>
    <cellStyle name="Normal 2 28" xfId="85"/>
    <cellStyle name="Normal 2 29" xfId="245"/>
    <cellStyle name="Normal 2 3" xfId="34"/>
    <cellStyle name="Normal 2 30" xfId="246"/>
    <cellStyle name="Normal 2 31" xfId="261"/>
    <cellStyle name="Normal 2 32" xfId="262"/>
    <cellStyle name="Normal 2 33" xfId="263"/>
    <cellStyle name="Normal 2 34" xfId="264"/>
    <cellStyle name="Normal 2 35" xfId="265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93"/>
    <cellStyle name="Normal 21" xfId="94"/>
    <cellStyle name="Normal 22" xfId="95"/>
    <cellStyle name="Normal 23" xfId="96"/>
    <cellStyle name="Normal 24" xfId="97"/>
    <cellStyle name="Normal 25" xfId="41"/>
    <cellStyle name="Normal 26" xfId="42"/>
    <cellStyle name="Normal 27" xfId="43"/>
    <cellStyle name="Normal 28" xfId="44"/>
    <cellStyle name="Normal 29" xfId="45"/>
    <cellStyle name="Normal 3" xfId="6"/>
    <cellStyle name="Normal 3 10" xfId="278"/>
    <cellStyle name="Normal 3 10 2" xfId="352"/>
    <cellStyle name="Normal 3 11" xfId="282"/>
    <cellStyle name="Normal 3 11 2" xfId="353"/>
    <cellStyle name="Normal 3 12" xfId="286"/>
    <cellStyle name="Normal 3 12 2" xfId="355"/>
    <cellStyle name="Normal 3 13" xfId="288"/>
    <cellStyle name="Normal 3 13 2" xfId="357"/>
    <cellStyle name="Normal 3 14" xfId="298"/>
    <cellStyle name="Normal 3 2" xfId="81"/>
    <cellStyle name="Normal 3 2 10" xfId="174"/>
    <cellStyle name="Normal 3 2 10 2" xfId="305"/>
    <cellStyle name="Normal 3 2 11" xfId="204"/>
    <cellStyle name="Normal 3 2 11 2" xfId="323"/>
    <cellStyle name="Normal 3 2 12" xfId="300"/>
    <cellStyle name="Normal 3 2 2" xfId="90"/>
    <cellStyle name="Normal 3 2 2 10" xfId="238"/>
    <cellStyle name="Normal 3 2 2 10 2" xfId="345"/>
    <cellStyle name="Normal 3 2 2 11" xfId="302"/>
    <cellStyle name="Normal 3 2 2 2" xfId="208"/>
    <cellStyle name="Normal 3 2 2 2 2" xfId="325"/>
    <cellStyle name="Normal 3 2 2 3" xfId="221"/>
    <cellStyle name="Normal 3 2 2 3 2" xfId="335"/>
    <cellStyle name="Normal 3 2 2 4" xfId="188"/>
    <cellStyle name="Normal 3 2 2 4 2" xfId="312"/>
    <cellStyle name="Normal 3 2 2 5" xfId="217"/>
    <cellStyle name="Normal 3 2 2 5 2" xfId="332"/>
    <cellStyle name="Normal 3 2 2 6" xfId="242"/>
    <cellStyle name="Normal 3 2 2 6 2" xfId="347"/>
    <cellStyle name="Normal 3 2 2 7" xfId="191"/>
    <cellStyle name="Normal 3 2 2 7 2" xfId="314"/>
    <cellStyle name="Normal 3 2 2 8" xfId="215"/>
    <cellStyle name="Normal 3 2 2 8 2" xfId="330"/>
    <cellStyle name="Normal 3 2 2 9" xfId="268"/>
    <cellStyle name="Normal 3 2 2 9 2" xfId="349"/>
    <cellStyle name="Normal 3 2 3" xfId="203"/>
    <cellStyle name="Normal 3 2 3 2" xfId="322"/>
    <cellStyle name="Normal 3 2 4" xfId="225"/>
    <cellStyle name="Normal 3 2 4 2" xfId="337"/>
    <cellStyle name="Normal 3 2 5" xfId="187"/>
    <cellStyle name="Normal 3 2 5 2" xfId="311"/>
    <cellStyle name="Normal 3 2 6" xfId="194"/>
    <cellStyle name="Normal 3 2 6 2" xfId="316"/>
    <cellStyle name="Normal 3 2 7" xfId="233"/>
    <cellStyle name="Normal 3 2 7 2" xfId="342"/>
    <cellStyle name="Normal 3 2 8" xfId="181"/>
    <cellStyle name="Normal 3 2 8 2" xfId="308"/>
    <cellStyle name="Normal 3 2 9" xfId="274"/>
    <cellStyle name="Normal 3 2 9 2" xfId="351"/>
    <cellStyle name="Normal 3 3" xfId="80"/>
    <cellStyle name="Normal 3 3 10" xfId="231"/>
    <cellStyle name="Normal 3 3 10 2" xfId="340"/>
    <cellStyle name="Normal 3 3 11" xfId="200"/>
    <cellStyle name="Normal 3 3 11 2" xfId="320"/>
    <cellStyle name="Normal 3 3 12" xfId="299"/>
    <cellStyle name="Normal 3 3 2" xfId="91"/>
    <cellStyle name="Normal 3 3 2 10" xfId="287"/>
    <cellStyle name="Normal 3 3 2 10 2" xfId="356"/>
    <cellStyle name="Normal 3 3 2 11" xfId="303"/>
    <cellStyle name="Normal 3 3 2 2" xfId="209"/>
    <cellStyle name="Normal 3 3 2 2 2" xfId="326"/>
    <cellStyle name="Normal 3 3 2 3" xfId="220"/>
    <cellStyle name="Normal 3 3 2 3 2" xfId="334"/>
    <cellStyle name="Normal 3 3 2 4" xfId="189"/>
    <cellStyle name="Normal 3 3 2 4 2" xfId="313"/>
    <cellStyle name="Normal 3 3 2 5" xfId="216"/>
    <cellStyle name="Normal 3 3 2 5 2" xfId="331"/>
    <cellStyle name="Normal 3 3 2 6" xfId="234"/>
    <cellStyle name="Normal 3 3 2 6 2" xfId="343"/>
    <cellStyle name="Normal 3 3 2 7" xfId="197"/>
    <cellStyle name="Normal 3 3 2 7 2" xfId="318"/>
    <cellStyle name="Normal 3 3 2 8" xfId="273"/>
    <cellStyle name="Normal 3 3 2 8 2" xfId="350"/>
    <cellStyle name="Normal 3 3 2 9" xfId="283"/>
    <cellStyle name="Normal 3 3 2 9 2" xfId="354"/>
    <cellStyle name="Normal 3 3 3" xfId="202"/>
    <cellStyle name="Normal 3 3 3 2" xfId="321"/>
    <cellStyle name="Normal 3 3 4" xfId="226"/>
    <cellStyle name="Normal 3 3 4 2" xfId="338"/>
    <cellStyle name="Normal 3 3 5" xfId="186"/>
    <cellStyle name="Normal 3 3 5 2" xfId="310"/>
    <cellStyle name="Normal 3 3 6" xfId="198"/>
    <cellStyle name="Normal 3 3 6 2" xfId="319"/>
    <cellStyle name="Normal 3 3 7" xfId="232"/>
    <cellStyle name="Normal 3 3 7 2" xfId="341"/>
    <cellStyle name="Normal 3 3 8" xfId="182"/>
    <cellStyle name="Normal 3 3 8 2" xfId="309"/>
    <cellStyle name="Normal 3 3 9" xfId="195"/>
    <cellStyle name="Normal 3 3 9 2" xfId="317"/>
    <cellStyle name="Normal 3 4" xfId="89"/>
    <cellStyle name="Normal 3 4 10" xfId="228"/>
    <cellStyle name="Normal 3 4 10 2" xfId="339"/>
    <cellStyle name="Normal 3 4 11" xfId="301"/>
    <cellStyle name="Normal 3 4 2" xfId="207"/>
    <cellStyle name="Normal 3 4 2 2" xfId="324"/>
    <cellStyle name="Normal 3 4 3" xfId="222"/>
    <cellStyle name="Normal 3 4 3 2" xfId="336"/>
    <cellStyle name="Normal 3 4 4" xfId="213"/>
    <cellStyle name="Normal 3 4 4 2" xfId="328"/>
    <cellStyle name="Normal 3 4 5" xfId="218"/>
    <cellStyle name="Normal 3 4 5 2" xfId="333"/>
    <cellStyle name="Normal 3 4 6" xfId="214"/>
    <cellStyle name="Normal 3 4 6 2" xfId="329"/>
    <cellStyle name="Normal 3 4 7" xfId="192"/>
    <cellStyle name="Normal 3 4 7 2" xfId="315"/>
    <cellStyle name="Normal 3 4 8" xfId="175"/>
    <cellStyle name="Normal 3 4 8 2" xfId="306"/>
    <cellStyle name="Normal 3 4 9" xfId="180"/>
    <cellStyle name="Normal 3 4 9 2" xfId="307"/>
    <cellStyle name="Normal 3 5" xfId="173"/>
    <cellStyle name="Normal 3 5 2" xfId="304"/>
    <cellStyle name="Normal 3 6" xfId="241"/>
    <cellStyle name="Normal 3 6 2" xfId="346"/>
    <cellStyle name="Normal 3 7" xfId="266"/>
    <cellStyle name="Normal 3 7 2" xfId="348"/>
    <cellStyle name="Normal 3 8" xfId="236"/>
    <cellStyle name="Normal 3 8 2" xfId="344"/>
    <cellStyle name="Normal 3 9" xfId="210"/>
    <cellStyle name="Normal 3 9 2" xfId="327"/>
    <cellStyle name="Normal 30" xfId="46"/>
    <cellStyle name="Normal 31" xfId="98"/>
    <cellStyle name="Normal 32" xfId="99"/>
    <cellStyle name="Normal 33" xfId="100"/>
    <cellStyle name="Normal 34" xfId="101"/>
    <cellStyle name="Normal 35" xfId="102"/>
    <cellStyle name="Normal 36" xfId="103"/>
    <cellStyle name="Normal 37" xfId="104"/>
    <cellStyle name="Normal 38" xfId="105"/>
    <cellStyle name="Normal 39" xfId="106"/>
    <cellStyle name="Normal 4" xfId="2"/>
    <cellStyle name="Normal 4 2" xfId="294"/>
    <cellStyle name="Normal 40" xfId="107"/>
    <cellStyle name="Normal 41" xfId="108"/>
    <cellStyle name="Normal 42" xfId="109"/>
    <cellStyle name="Normal 43" xfId="110"/>
    <cellStyle name="Normal 44" xfId="111"/>
    <cellStyle name="Normal 45" xfId="112"/>
    <cellStyle name="Normal 46" xfId="113"/>
    <cellStyle name="Normal 47" xfId="114"/>
    <cellStyle name="Normal 48" xfId="115"/>
    <cellStyle name="Normal 49" xfId="116"/>
    <cellStyle name="Normal 5" xfId="3"/>
    <cellStyle name="Normal 50" xfId="117"/>
    <cellStyle name="Normal 51" xfId="118"/>
    <cellStyle name="Normal 52" xfId="119"/>
    <cellStyle name="Normal 53" xfId="120"/>
    <cellStyle name="Normal 54" xfId="121"/>
    <cellStyle name="Normal 55" xfId="122"/>
    <cellStyle name="Normal 56" xfId="123"/>
    <cellStyle name="Normal 57" xfId="124"/>
    <cellStyle name="Normal 58" xfId="125"/>
    <cellStyle name="Normal 59" xfId="126"/>
    <cellStyle name="Normal 6" xfId="4"/>
    <cellStyle name="Normal 60" xfId="127"/>
    <cellStyle name="Normal 61" xfId="128"/>
    <cellStyle name="Normal 62" xfId="129"/>
    <cellStyle name="Normal 63" xfId="130"/>
    <cellStyle name="Normal 64" xfId="131"/>
    <cellStyle name="Normal 65" xfId="132"/>
    <cellStyle name="Normal 66" xfId="133"/>
    <cellStyle name="Normal 67" xfId="134"/>
    <cellStyle name="Normal 68" xfId="135"/>
    <cellStyle name="Normal 69" xfId="136"/>
    <cellStyle name="Normal 7" xfId="7"/>
    <cellStyle name="Normal 70" xfId="137"/>
    <cellStyle name="Normal 71" xfId="138"/>
    <cellStyle name="Normal 72" xfId="139"/>
    <cellStyle name="Normal 73" xfId="140"/>
    <cellStyle name="Normal 74" xfId="141"/>
    <cellStyle name="Normal 75" xfId="142"/>
    <cellStyle name="Normal 76" xfId="143"/>
    <cellStyle name="Normal 77" xfId="144"/>
    <cellStyle name="Normal 78" xfId="145"/>
    <cellStyle name="Normal 79" xfId="146"/>
    <cellStyle name="Normal 8" xfId="8"/>
    <cellStyle name="Normal 8 10" xfId="48"/>
    <cellStyle name="Normal 8 11" xfId="49"/>
    <cellStyle name="Normal 8 12" xfId="50"/>
    <cellStyle name="Normal 8 13" xfId="51"/>
    <cellStyle name="Normal 8 14" xfId="52"/>
    <cellStyle name="Normal 8 15" xfId="53"/>
    <cellStyle name="Normal 8 16" xfId="54"/>
    <cellStyle name="Normal 8 17" xfId="55"/>
    <cellStyle name="Normal 8 18" xfId="56"/>
    <cellStyle name="Normal 8 19" xfId="57"/>
    <cellStyle name="Normal 8 2" xfId="47"/>
    <cellStyle name="Normal 8 2 2" xfId="58"/>
    <cellStyle name="Normal 8 2 3" xfId="73"/>
    <cellStyle name="Normal 8 2 4" xfId="84"/>
    <cellStyle name="Normal 8 2 5" xfId="76"/>
    <cellStyle name="Normal 8 20" xfId="59"/>
    <cellStyle name="Normal 8 21" xfId="60"/>
    <cellStyle name="Normal 8 22" xfId="61"/>
    <cellStyle name="Normal 8 23" xfId="72"/>
    <cellStyle name="Normal 8 24" xfId="82"/>
    <cellStyle name="Normal 8 25" xfId="79"/>
    <cellStyle name="Normal 8 3" xfId="62"/>
    <cellStyle name="Normal 8 4" xfId="63"/>
    <cellStyle name="Normal 8 5" xfId="64"/>
    <cellStyle name="Normal 8 6" xfId="65"/>
    <cellStyle name="Normal 8 7" xfId="66"/>
    <cellStyle name="Normal 8 8" xfId="67"/>
    <cellStyle name="Normal 8 9" xfId="68"/>
    <cellStyle name="Normal 80" xfId="147"/>
    <cellStyle name="Normal 81" xfId="148"/>
    <cellStyle name="Normal 82" xfId="149"/>
    <cellStyle name="Normal 83" xfId="150"/>
    <cellStyle name="Normal 84" xfId="151"/>
    <cellStyle name="Normal 85" xfId="152"/>
    <cellStyle name="Normal 86" xfId="153"/>
    <cellStyle name="Normal 87" xfId="154"/>
    <cellStyle name="Normal 88" xfId="155"/>
    <cellStyle name="Normal 89" xfId="156"/>
    <cellStyle name="Normal 9" xfId="9"/>
    <cellStyle name="Normal 9 2" xfId="69"/>
    <cellStyle name="Normal 9 3" xfId="74"/>
    <cellStyle name="Normal 9 4" xfId="86"/>
    <cellStyle name="Normal 9 5" xfId="88"/>
    <cellStyle name="Normal 90" xfId="157"/>
    <cellStyle name="Normal 91" xfId="158"/>
    <cellStyle name="Normal 92" xfId="159"/>
    <cellStyle name="Normal 93" xfId="160"/>
    <cellStyle name="Normal 94" xfId="161"/>
    <cellStyle name="Normal 95" xfId="162"/>
    <cellStyle name="Normal 96" xfId="163"/>
    <cellStyle name="Normal 97" xfId="164"/>
    <cellStyle name="Normal 98" xfId="165"/>
    <cellStyle name="Normal 99" xfId="166"/>
    <cellStyle name="User Inpu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Roll Period</a:t>
            </a:r>
          </a:p>
        </c:rich>
      </c:tx>
      <c:layout>
        <c:manualLayout>
          <c:xMode val="edge"/>
          <c:yMode val="edge"/>
          <c:x val="0.42612203731720011"/>
          <c:y val="1.44587729581867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258698940998568E-2"/>
          <c:y val="6.9167643610785493E-2"/>
          <c:w val="0.88629857727693251"/>
          <c:h val="0.85580304806565066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RollPeriod!$B$9:$B$53</c:f>
              <c:numCache>
                <c:formatCode>0.00</c:formatCode>
                <c:ptCount val="45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  <c:pt idx="5">
                  <c:v>2.25</c:v>
                </c:pt>
                <c:pt idx="6">
                  <c:v>2.5</c:v>
                </c:pt>
                <c:pt idx="7">
                  <c:v>2.75</c:v>
                </c:pt>
                <c:pt idx="8">
                  <c:v>3</c:v>
                </c:pt>
                <c:pt idx="9">
                  <c:v>3.25</c:v>
                </c:pt>
                <c:pt idx="10">
                  <c:v>3.5</c:v>
                </c:pt>
                <c:pt idx="11">
                  <c:v>3.75</c:v>
                </c:pt>
                <c:pt idx="12">
                  <c:v>4</c:v>
                </c:pt>
                <c:pt idx="13">
                  <c:v>4.25</c:v>
                </c:pt>
                <c:pt idx="14">
                  <c:v>4.5</c:v>
                </c:pt>
                <c:pt idx="15">
                  <c:v>4.75</c:v>
                </c:pt>
                <c:pt idx="16">
                  <c:v>5</c:v>
                </c:pt>
                <c:pt idx="17">
                  <c:v>5.25</c:v>
                </c:pt>
                <c:pt idx="18">
                  <c:v>5.5</c:v>
                </c:pt>
                <c:pt idx="19">
                  <c:v>5.75</c:v>
                </c:pt>
                <c:pt idx="20">
                  <c:v>6</c:v>
                </c:pt>
                <c:pt idx="21">
                  <c:v>6.25</c:v>
                </c:pt>
                <c:pt idx="22">
                  <c:v>6.5</c:v>
                </c:pt>
                <c:pt idx="23">
                  <c:v>6.75</c:v>
                </c:pt>
                <c:pt idx="24">
                  <c:v>7</c:v>
                </c:pt>
                <c:pt idx="25">
                  <c:v>7.25</c:v>
                </c:pt>
                <c:pt idx="26">
                  <c:v>7.5</c:v>
                </c:pt>
                <c:pt idx="27">
                  <c:v>7.75</c:v>
                </c:pt>
                <c:pt idx="28">
                  <c:v>8</c:v>
                </c:pt>
                <c:pt idx="29">
                  <c:v>8.25</c:v>
                </c:pt>
                <c:pt idx="30">
                  <c:v>8.5</c:v>
                </c:pt>
                <c:pt idx="31">
                  <c:v>8.75</c:v>
                </c:pt>
                <c:pt idx="32">
                  <c:v>9</c:v>
                </c:pt>
                <c:pt idx="33">
                  <c:v>9.25</c:v>
                </c:pt>
                <c:pt idx="34">
                  <c:v>9.5</c:v>
                </c:pt>
                <c:pt idx="35">
                  <c:v>9.75</c:v>
                </c:pt>
                <c:pt idx="36">
                  <c:v>10</c:v>
                </c:pt>
                <c:pt idx="37">
                  <c:v>10.25</c:v>
                </c:pt>
                <c:pt idx="38">
                  <c:v>10.5</c:v>
                </c:pt>
                <c:pt idx="39">
                  <c:v>10.75</c:v>
                </c:pt>
                <c:pt idx="40">
                  <c:v>11</c:v>
                </c:pt>
                <c:pt idx="41">
                  <c:v>11.25</c:v>
                </c:pt>
                <c:pt idx="42">
                  <c:v>11.5</c:v>
                </c:pt>
                <c:pt idx="43">
                  <c:v>11.75</c:v>
                </c:pt>
                <c:pt idx="44">
                  <c:v>12</c:v>
                </c:pt>
              </c:numCache>
            </c:numRef>
          </c:xVal>
          <c:yVal>
            <c:numRef>
              <c:f>RollPeriod!$C$9:$C$53</c:f>
              <c:numCache>
                <c:formatCode>0.00</c:formatCode>
                <c:ptCount val="45"/>
                <c:pt idx="0">
                  <c:v>22.88</c:v>
                </c:pt>
                <c:pt idx="1">
                  <c:v>20.464494130078073</c:v>
                </c:pt>
                <c:pt idx="2">
                  <c:v>18.681441771626371</c:v>
                </c:pt>
                <c:pt idx="3">
                  <c:v>17.295654284902238</c:v>
                </c:pt>
                <c:pt idx="4">
                  <c:v>16.178603153548206</c:v>
                </c:pt>
                <c:pt idx="5">
                  <c:v>15.253333333333332</c:v>
                </c:pt>
                <c:pt idx="6">
                  <c:v>14.470582572930502</c:v>
                </c:pt>
                <c:pt idx="7">
                  <c:v>13.797159127878462</c:v>
                </c:pt>
                <c:pt idx="8">
                  <c:v>13.209774159058638</c:v>
                </c:pt>
                <c:pt idx="9">
                  <c:v>12.691540489633242</c:v>
                </c:pt>
                <c:pt idx="10">
                  <c:v>12.22987442991254</c:v>
                </c:pt>
                <c:pt idx="11">
                  <c:v>11.815181194830092</c:v>
                </c:pt>
                <c:pt idx="12">
                  <c:v>11.44</c:v>
                </c:pt>
                <c:pt idx="13">
                  <c:v>11.098430201662596</c:v>
                </c:pt>
                <c:pt idx="14">
                  <c:v>10.785735435698806</c:v>
                </c:pt>
                <c:pt idx="15">
                  <c:v>10.498063981916905</c:v>
                </c:pt>
                <c:pt idx="16">
                  <c:v>10.232247065039036</c:v>
                </c:pt>
                <c:pt idx="17">
                  <c:v>9.9856506571990113</c:v>
                </c:pt>
                <c:pt idx="18">
                  <c:v>9.7560647804327321</c:v>
                </c:pt>
                <c:pt idx="19">
                  <c:v>9.5416195872517413</c:v>
                </c:pt>
                <c:pt idx="20">
                  <c:v>9.3407208858131856</c:v>
                </c:pt>
                <c:pt idx="21">
                  <c:v>9.1519999999999992</c:v>
                </c:pt>
                <c:pt idx="22">
                  <c:v>8.9742743439233017</c:v>
                </c:pt>
                <c:pt idx="23">
                  <c:v>8.8065161060390906</c:v>
                </c:pt>
                <c:pt idx="24">
                  <c:v>8.6478271424511188</c:v>
                </c:pt>
                <c:pt idx="25">
                  <c:v>8.4974186749818941</c:v>
                </c:pt>
                <c:pt idx="26">
                  <c:v>8.3545947438121342</c:v>
                </c:pt>
                <c:pt idx="27">
                  <c:v>8.2187386207452189</c:v>
                </c:pt>
                <c:pt idx="28">
                  <c:v>8.089301576774103</c:v>
                </c:pt>
                <c:pt idx="29">
                  <c:v>7.9657935365327326</c:v>
                </c:pt>
                <c:pt idx="30">
                  <c:v>7.8477752561212037</c:v>
                </c:pt>
                <c:pt idx="31">
                  <c:v>7.7348517392753831</c:v>
                </c:pt>
                <c:pt idx="32">
                  <c:v>7.626666666666666</c:v>
                </c:pt>
                <c:pt idx="33">
                  <c:v>7.5228976590931493</c:v>
                </c:pt>
                <c:pt idx="34">
                  <c:v>7.4232522309436941</c:v>
                </c:pt>
                <c:pt idx="35">
                  <c:v>7.3274643181207866</c:v>
                </c:pt>
                <c:pt idx="36">
                  <c:v>7.2352912864652508</c:v>
                </c:pt>
                <c:pt idx="37">
                  <c:v>7.1465113440226133</c:v>
                </c:pt>
                <c:pt idx="38">
                  <c:v>7.0609212942653254</c:v>
                </c:pt>
                <c:pt idx="39">
                  <c:v>6.9783345784199895</c:v>
                </c:pt>
                <c:pt idx="40">
                  <c:v>6.8985795639392311</c:v>
                </c:pt>
                <c:pt idx="41">
                  <c:v>6.8214980433593579</c:v>
                </c:pt>
                <c:pt idx="42">
                  <c:v>6.7469439136480922</c:v>
                </c:pt>
                <c:pt idx="43">
                  <c:v>6.6747820109436544</c:v>
                </c:pt>
                <c:pt idx="44">
                  <c:v>6.6048870795293189</c:v>
                </c:pt>
              </c:numCache>
            </c:numRef>
          </c:yVal>
          <c:smooth val="1"/>
        </c:ser>
        <c:axId val="112708224"/>
        <c:axId val="117523584"/>
      </c:scatterChart>
      <c:valAx>
        <c:axId val="112708224"/>
        <c:scaling>
          <c:orientation val="minMax"/>
          <c:max val="12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 (ft)</a:t>
                </a:r>
              </a:p>
            </c:rich>
          </c:tx>
          <c:layout>
            <c:manualLayout>
              <c:xMode val="edge"/>
              <c:yMode val="edge"/>
              <c:x val="0.47705496722138674"/>
              <c:y val="0.97225478702618262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23584"/>
        <c:crosses val="autoZero"/>
        <c:crossBetween val="midCat"/>
        <c:majorUnit val="1"/>
        <c:minorUnit val="0.25"/>
      </c:valAx>
      <c:valAx>
        <c:axId val="117523584"/>
        <c:scaling>
          <c:orientation val="minMax"/>
          <c:max val="20"/>
          <c:min val="3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Roll Period (sec)</a:t>
                </a:r>
              </a:p>
            </c:rich>
          </c:tx>
          <c:layout>
            <c:manualLayout>
              <c:xMode val="edge"/>
              <c:yMode val="edge"/>
              <c:x val="1.0085728693898374E-3"/>
              <c:y val="0.42516608050019539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08224"/>
        <c:crosses val="autoZero"/>
        <c:crossBetween val="midCat"/>
        <c:majorUnit val="1"/>
        <c:min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Trim Correction</a:t>
            </a:r>
          </a:p>
        </c:rich>
      </c:tx>
      <c:layout>
        <c:manualLayout>
          <c:xMode val="edge"/>
          <c:yMode val="edge"/>
          <c:x val="0.41423353634193349"/>
          <c:y val="3.05676855895200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7445255474451845E-2"/>
          <c:y val="0.14410480349344978"/>
          <c:w val="0.8175182481751827"/>
          <c:h val="0.76200873362446808"/>
        </c:manualLayout>
      </c:layout>
      <c:scatterChart>
        <c:scatterStyle val="smoothMarker"/>
        <c:ser>
          <c:idx val="0"/>
          <c:order val="0"/>
          <c:tx>
            <c:v>Fwd Drafts (5.8 m)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TrimTable!$P$36:$P$46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xVal>
          <c:yVal>
            <c:numRef>
              <c:f>TrimTable!$Q$36:$Q$46</c:f>
              <c:numCache>
                <c:formatCode>General</c:formatCode>
                <c:ptCount val="11"/>
                <c:pt idx="0">
                  <c:v>-5.0000000000000711E-2</c:v>
                </c:pt>
                <c:pt idx="1">
                  <c:v>-1.9999999999999574E-2</c:v>
                </c:pt>
                <c:pt idx="2">
                  <c:v>0</c:v>
                </c:pt>
                <c:pt idx="3">
                  <c:v>1.9999999999999574E-2</c:v>
                </c:pt>
                <c:pt idx="4">
                  <c:v>3.9999999999999147E-2</c:v>
                </c:pt>
                <c:pt idx="5">
                  <c:v>5.9999999999998721E-2</c:v>
                </c:pt>
                <c:pt idx="6">
                  <c:v>7.9999999999998295E-2</c:v>
                </c:pt>
                <c:pt idx="7">
                  <c:v>0.10000000000000142</c:v>
                </c:pt>
                <c:pt idx="8">
                  <c:v>0.12000000000000099</c:v>
                </c:pt>
                <c:pt idx="9">
                  <c:v>0.14000000000000057</c:v>
                </c:pt>
                <c:pt idx="10">
                  <c:v>0.16000000000000014</c:v>
                </c:pt>
              </c:numCache>
            </c:numRef>
          </c:yVal>
          <c:smooth val="1"/>
        </c:ser>
        <c:ser>
          <c:idx val="1"/>
          <c:order val="1"/>
          <c:tx>
            <c:v>Aft Drafts (5.8 m)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TrimTable!$P$36:$P$46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xVal>
          <c:yVal>
            <c:numRef>
              <c:f>TrimTable!$S$36:$S$46</c:f>
              <c:numCache>
                <c:formatCode>General</c:formatCode>
                <c:ptCount val="11"/>
                <c:pt idx="0">
                  <c:v>0.10000000000000142</c:v>
                </c:pt>
                <c:pt idx="1">
                  <c:v>7.9999999999998295E-2</c:v>
                </c:pt>
                <c:pt idx="2">
                  <c:v>7.0000000000000284E-2</c:v>
                </c:pt>
                <c:pt idx="3">
                  <c:v>5.0000000000000711E-2</c:v>
                </c:pt>
                <c:pt idx="4">
                  <c:v>3.0000000000001137E-2</c:v>
                </c:pt>
                <c:pt idx="5">
                  <c:v>1.0000000000001563E-2</c:v>
                </c:pt>
                <c:pt idx="6">
                  <c:v>0</c:v>
                </c:pt>
                <c:pt idx="7">
                  <c:v>-1.9999999999999574E-2</c:v>
                </c:pt>
                <c:pt idx="8">
                  <c:v>-3.9999999999999147E-2</c:v>
                </c:pt>
                <c:pt idx="9">
                  <c:v>-5.9999999999998721E-2</c:v>
                </c:pt>
                <c:pt idx="10">
                  <c:v>-7.9999999999998295E-2</c:v>
                </c:pt>
              </c:numCache>
            </c:numRef>
          </c:yVal>
          <c:smooth val="1"/>
        </c:ser>
        <c:ser>
          <c:idx val="2"/>
          <c:order val="2"/>
          <c:tx>
            <c:v>Fwd Drafts (6.1 m)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TrimTable!$P$36:$P$46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xVal>
          <c:yVal>
            <c:numRef>
              <c:f>TrimTable!$T$36:$T$46</c:f>
              <c:numCache>
                <c:formatCode>General</c:formatCode>
                <c:ptCount val="11"/>
                <c:pt idx="0">
                  <c:v>-3.9999999999999147E-2</c:v>
                </c:pt>
                <c:pt idx="1">
                  <c:v>-1.9999999999999574E-2</c:v>
                </c:pt>
                <c:pt idx="2">
                  <c:v>0</c:v>
                </c:pt>
                <c:pt idx="3">
                  <c:v>2.0000000000003126E-2</c:v>
                </c:pt>
                <c:pt idx="4">
                  <c:v>4.00000000000027E-2</c:v>
                </c:pt>
                <c:pt idx="5">
                  <c:v>6.0000000000002274E-2</c:v>
                </c:pt>
                <c:pt idx="6">
                  <c:v>8.0000000000001847E-2</c:v>
                </c:pt>
                <c:pt idx="7">
                  <c:v>0.10000000000000142</c:v>
                </c:pt>
                <c:pt idx="8">
                  <c:v>0.11000000000000298</c:v>
                </c:pt>
                <c:pt idx="9">
                  <c:v>0.13000000000000256</c:v>
                </c:pt>
                <c:pt idx="10">
                  <c:v>0.15000000000000213</c:v>
                </c:pt>
              </c:numCache>
            </c:numRef>
          </c:yVal>
          <c:smooth val="1"/>
        </c:ser>
        <c:ser>
          <c:idx val="3"/>
          <c:order val="3"/>
          <c:tx>
            <c:v>Aft Drafts (6.1 m)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TrimTable!$P$36:$P$46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xVal>
          <c:yVal>
            <c:numRef>
              <c:f>TrimTable!$V$36:$V$46</c:f>
              <c:numCache>
                <c:formatCode>General</c:formatCode>
                <c:ptCount val="11"/>
                <c:pt idx="0">
                  <c:v>0.10000000000000142</c:v>
                </c:pt>
                <c:pt idx="1">
                  <c:v>8.0000000000001847E-2</c:v>
                </c:pt>
                <c:pt idx="2">
                  <c:v>6.0000000000002274E-2</c:v>
                </c:pt>
                <c:pt idx="3">
                  <c:v>5.0000000000000711E-2</c:v>
                </c:pt>
                <c:pt idx="4">
                  <c:v>3.0000000000001137E-2</c:v>
                </c:pt>
                <c:pt idx="5">
                  <c:v>1.0000000000001563E-2</c:v>
                </c:pt>
                <c:pt idx="6">
                  <c:v>0</c:v>
                </c:pt>
                <c:pt idx="7">
                  <c:v>-1.9999999999999574E-2</c:v>
                </c:pt>
                <c:pt idx="8">
                  <c:v>-3.9999999999999147E-2</c:v>
                </c:pt>
                <c:pt idx="9">
                  <c:v>-4.9999999999997158E-2</c:v>
                </c:pt>
                <c:pt idx="10">
                  <c:v>-7.0000000000000284E-2</c:v>
                </c:pt>
              </c:numCache>
            </c:numRef>
          </c:yVal>
          <c:smooth val="1"/>
        </c:ser>
        <c:ser>
          <c:idx val="4"/>
          <c:order val="4"/>
          <c:tx>
            <c:v>Mid Drafts (18 ft)</c:v>
          </c:tx>
          <c:spPr>
            <a:ln w="12700"/>
          </c:spPr>
          <c:xVal>
            <c:numRef>
              <c:f>TrimTable!$P$36:$P$46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xVal>
          <c:yVal>
            <c:numRef>
              <c:f>TrimTable!$R$36:$R$46</c:f>
              <c:numCache>
                <c:formatCode>General</c:formatCode>
                <c:ptCount val="11"/>
                <c:pt idx="0">
                  <c:v>3.0000000000001137E-2</c:v>
                </c:pt>
                <c:pt idx="1">
                  <c:v>3.0000000000001137E-2</c:v>
                </c:pt>
                <c:pt idx="2">
                  <c:v>3.0000000000001137E-2</c:v>
                </c:pt>
                <c:pt idx="3">
                  <c:v>3.0000000000001137E-2</c:v>
                </c:pt>
                <c:pt idx="4">
                  <c:v>3.0000000000001137E-2</c:v>
                </c:pt>
                <c:pt idx="5">
                  <c:v>3.9999999999999147E-2</c:v>
                </c:pt>
                <c:pt idx="6">
                  <c:v>3.9999999999999147E-2</c:v>
                </c:pt>
                <c:pt idx="7">
                  <c:v>3.9999999999999147E-2</c:v>
                </c:pt>
                <c:pt idx="8">
                  <c:v>3.9999999999999147E-2</c:v>
                </c:pt>
                <c:pt idx="9">
                  <c:v>3.9999999999999147E-2</c:v>
                </c:pt>
                <c:pt idx="10">
                  <c:v>3.9999999999999147E-2</c:v>
                </c:pt>
              </c:numCache>
            </c:numRef>
          </c:yVal>
          <c:smooth val="1"/>
        </c:ser>
        <c:ser>
          <c:idx val="5"/>
          <c:order val="5"/>
          <c:tx>
            <c:v>Mid Drafts (19.4 ft)</c:v>
          </c:tx>
          <c:spPr>
            <a:ln w="12700"/>
          </c:spPr>
          <c:xVal>
            <c:numRef>
              <c:f>TrimTable!$P$36:$P$46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xVal>
          <c:yVal>
            <c:numRef>
              <c:f>TrimTable!$U$36:$U$46</c:f>
              <c:numCache>
                <c:formatCode>General</c:formatCode>
                <c:ptCount val="11"/>
                <c:pt idx="0">
                  <c:v>3.0000000000001137E-2</c:v>
                </c:pt>
                <c:pt idx="1">
                  <c:v>3.0000000000001137E-2</c:v>
                </c:pt>
                <c:pt idx="2">
                  <c:v>3.0000000000001137E-2</c:v>
                </c:pt>
                <c:pt idx="3">
                  <c:v>3.0000000000001137E-2</c:v>
                </c:pt>
                <c:pt idx="4">
                  <c:v>4.00000000000027E-2</c:v>
                </c:pt>
                <c:pt idx="5">
                  <c:v>3.0000000000001137E-2</c:v>
                </c:pt>
                <c:pt idx="6">
                  <c:v>3.0000000000001137E-2</c:v>
                </c:pt>
                <c:pt idx="7">
                  <c:v>3.0000000000001137E-2</c:v>
                </c:pt>
                <c:pt idx="8">
                  <c:v>3.0000000000001137E-2</c:v>
                </c:pt>
                <c:pt idx="9">
                  <c:v>3.0000000000001137E-2</c:v>
                </c:pt>
                <c:pt idx="10">
                  <c:v>4.00000000000027E-2</c:v>
                </c:pt>
              </c:numCache>
            </c:numRef>
          </c:yVal>
          <c:smooth val="1"/>
        </c:ser>
        <c:axId val="50664576"/>
        <c:axId val="50666496"/>
      </c:scatterChart>
      <c:valAx>
        <c:axId val="50664576"/>
        <c:scaling>
          <c:orientation val="maxMin"/>
          <c:max val="10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Location (Frame)</a:t>
                </a:r>
              </a:p>
            </c:rich>
          </c:tx>
          <c:layout>
            <c:manualLayout>
              <c:xMode val="edge"/>
              <c:yMode val="edge"/>
              <c:x val="0.3722627390022894"/>
              <c:y val="0.927947598253282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666496"/>
        <c:crosses val="autoZero"/>
        <c:crossBetween val="midCat"/>
      </c:valAx>
      <c:valAx>
        <c:axId val="50666496"/>
        <c:scaling>
          <c:orientation val="minMax"/>
        </c:scaling>
        <c:axPos val="r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Trim Correction (m)</a:t>
                </a:r>
              </a:p>
            </c:rich>
          </c:tx>
          <c:layout>
            <c:manualLayout>
              <c:xMode val="edge"/>
              <c:yMode val="edge"/>
              <c:x val="0.93978102251782636"/>
              <c:y val="0.40393013100436681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6645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Allowable KG Curve</a:t>
            </a:r>
          </a:p>
        </c:rich>
      </c:tx>
    </c:title>
    <c:plotArea>
      <c:layout>
        <c:manualLayout>
          <c:layoutTarget val="inner"/>
          <c:xMode val="edge"/>
          <c:yMode val="edge"/>
          <c:x val="0.12614026884584273"/>
          <c:y val="9.3505686789151568E-2"/>
          <c:w val="0.82934092043938479"/>
          <c:h val="0.85082397200350712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'KG Req'!$D$25:$D$51</c:f>
              <c:numCache>
                <c:formatCode>General</c:formatCode>
                <c:ptCount val="27"/>
                <c:pt idx="0">
                  <c:v>14.678000000000001</c:v>
                </c:pt>
                <c:pt idx="1">
                  <c:v>15</c:v>
                </c:pt>
                <c:pt idx="2">
                  <c:v>15.2</c:v>
                </c:pt>
                <c:pt idx="3">
                  <c:v>15.4</c:v>
                </c:pt>
                <c:pt idx="4">
                  <c:v>15.6</c:v>
                </c:pt>
                <c:pt idx="5">
                  <c:v>15.8</c:v>
                </c:pt>
                <c:pt idx="6">
                  <c:v>16</c:v>
                </c:pt>
                <c:pt idx="7">
                  <c:v>16.2</c:v>
                </c:pt>
                <c:pt idx="8">
                  <c:v>16.399999999999999</c:v>
                </c:pt>
                <c:pt idx="9">
                  <c:v>16.600000000000001</c:v>
                </c:pt>
                <c:pt idx="10">
                  <c:v>16.8</c:v>
                </c:pt>
                <c:pt idx="11">
                  <c:v>17</c:v>
                </c:pt>
                <c:pt idx="12">
                  <c:v>17.2</c:v>
                </c:pt>
                <c:pt idx="13">
                  <c:v>17.399999999999999</c:v>
                </c:pt>
                <c:pt idx="14">
                  <c:v>17.600000000000001</c:v>
                </c:pt>
                <c:pt idx="15">
                  <c:v>17.8</c:v>
                </c:pt>
                <c:pt idx="16">
                  <c:v>18</c:v>
                </c:pt>
                <c:pt idx="17">
                  <c:v>18.2</c:v>
                </c:pt>
                <c:pt idx="18">
                  <c:v>18.399999999999999</c:v>
                </c:pt>
                <c:pt idx="19">
                  <c:v>18.600000000000001</c:v>
                </c:pt>
                <c:pt idx="20">
                  <c:v>18.8</c:v>
                </c:pt>
                <c:pt idx="21">
                  <c:v>19</c:v>
                </c:pt>
                <c:pt idx="22">
                  <c:v>19.2</c:v>
                </c:pt>
                <c:pt idx="23">
                  <c:v>19.399999999999999</c:v>
                </c:pt>
                <c:pt idx="24">
                  <c:v>19.600000000000001</c:v>
                </c:pt>
                <c:pt idx="25">
                  <c:v>19.8</c:v>
                </c:pt>
                <c:pt idx="26">
                  <c:v>20</c:v>
                </c:pt>
              </c:numCache>
            </c:numRef>
          </c:xVal>
          <c:yVal>
            <c:numRef>
              <c:f>'KG Req'!$F$25:$F$51</c:f>
              <c:numCache>
                <c:formatCode>General</c:formatCode>
                <c:ptCount val="27"/>
                <c:pt idx="0">
                  <c:v>23.89</c:v>
                </c:pt>
                <c:pt idx="1">
                  <c:v>23.812999999999999</c:v>
                </c:pt>
                <c:pt idx="2">
                  <c:v>23.774999999999999</c:v>
                </c:pt>
                <c:pt idx="3">
                  <c:v>23.736999999999998</c:v>
                </c:pt>
                <c:pt idx="4">
                  <c:v>23.695399999999999</c:v>
                </c:pt>
                <c:pt idx="5">
                  <c:v>23.650200000000002</c:v>
                </c:pt>
                <c:pt idx="6">
                  <c:v>23.605</c:v>
                </c:pt>
                <c:pt idx="7">
                  <c:v>23.561800000000002</c:v>
                </c:pt>
                <c:pt idx="8">
                  <c:v>23.518599999999999</c:v>
                </c:pt>
                <c:pt idx="9">
                  <c:v>23.478400000000001</c:v>
                </c:pt>
                <c:pt idx="10">
                  <c:v>23.441199999999998</c:v>
                </c:pt>
                <c:pt idx="11">
                  <c:v>23.404</c:v>
                </c:pt>
                <c:pt idx="12">
                  <c:v>23.372399999999999</c:v>
                </c:pt>
                <c:pt idx="13">
                  <c:v>23.340799999999998</c:v>
                </c:pt>
                <c:pt idx="14">
                  <c:v>23.311399999999999</c:v>
                </c:pt>
                <c:pt idx="15">
                  <c:v>23.284200000000002</c:v>
                </c:pt>
                <c:pt idx="16">
                  <c:v>23.257000000000001</c:v>
                </c:pt>
                <c:pt idx="17">
                  <c:v>23.2334</c:v>
                </c:pt>
                <c:pt idx="18">
                  <c:v>23.209800000000001</c:v>
                </c:pt>
                <c:pt idx="19">
                  <c:v>23.189</c:v>
                </c:pt>
                <c:pt idx="20">
                  <c:v>23.170999999999999</c:v>
                </c:pt>
                <c:pt idx="21">
                  <c:v>23.152999999999999</c:v>
                </c:pt>
                <c:pt idx="22">
                  <c:v>23.076999999999998</c:v>
                </c:pt>
                <c:pt idx="23">
                  <c:v>23.001000000000001</c:v>
                </c:pt>
                <c:pt idx="24">
                  <c:v>22.9116</c:v>
                </c:pt>
                <c:pt idx="25">
                  <c:v>22.808799999999998</c:v>
                </c:pt>
                <c:pt idx="26">
                  <c:v>22.706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'KG Req'!$C$9</c:f>
              <c:strCache>
                <c:ptCount val="1"/>
                <c:pt idx="0">
                  <c:v>Departure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xVal>
            <c:numRef>
              <c:f>'KG Req'!$D$9</c:f>
              <c:numCache>
                <c:formatCode>0.00</c:formatCode>
                <c:ptCount val="1"/>
                <c:pt idx="0">
                  <c:v>18.847000000000001</c:v>
                </c:pt>
              </c:numCache>
            </c:numRef>
          </c:xVal>
          <c:yVal>
            <c:numRef>
              <c:f>'KG Req'!$H$9</c:f>
              <c:numCache>
                <c:formatCode>#,##0.00</c:formatCode>
                <c:ptCount val="1"/>
                <c:pt idx="0">
                  <c:v>21.976983628147192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'KG Req'!$C$10</c:f>
              <c:strCache>
                <c:ptCount val="1"/>
                <c:pt idx="0">
                  <c:v>Departure + Ice 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</c:marker>
          <c:xVal>
            <c:numRef>
              <c:f>'KG Req'!$D$10</c:f>
              <c:numCache>
                <c:formatCode>0.00</c:formatCode>
                <c:ptCount val="1"/>
                <c:pt idx="0">
                  <c:v>19.108087999999999</c:v>
                </c:pt>
              </c:numCache>
            </c:numRef>
          </c:xVal>
          <c:yVal>
            <c:numRef>
              <c:f>'KG Req'!$H$10</c:f>
              <c:numCache>
                <c:formatCode>#,##0.00</c:formatCode>
                <c:ptCount val="1"/>
                <c:pt idx="0">
                  <c:v>22.41119866204815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'KG Req'!$C$11</c:f>
              <c:strCache>
                <c:ptCount val="1"/>
                <c:pt idx="0">
                  <c:v>Mid Voyage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xVal>
            <c:numRef>
              <c:f>'KG Req'!$D$11</c:f>
              <c:numCache>
                <c:formatCode>0.00</c:formatCode>
                <c:ptCount val="1"/>
                <c:pt idx="0">
                  <c:v>18.4495</c:v>
                </c:pt>
              </c:numCache>
            </c:numRef>
          </c:xVal>
          <c:yVal>
            <c:numRef>
              <c:f>'KG Req'!$H$11</c:f>
              <c:numCache>
                <c:formatCode>#,##0.00</c:formatCode>
                <c:ptCount val="1"/>
                <c:pt idx="0">
                  <c:v>21.979428924381072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'KG Req'!$C$12</c:f>
              <c:strCache>
                <c:ptCount val="1"/>
                <c:pt idx="0">
                  <c:v>Mid Voyage + Ice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xVal>
            <c:numRef>
              <c:f>'KG Req'!$D$12</c:f>
              <c:numCache>
                <c:formatCode>0.00</c:formatCode>
                <c:ptCount val="1"/>
                <c:pt idx="0">
                  <c:v>18.712399999999999</c:v>
                </c:pt>
              </c:numCache>
            </c:numRef>
          </c:xVal>
          <c:yVal>
            <c:numRef>
              <c:f>'KG Req'!$H$12</c:f>
              <c:numCache>
                <c:formatCode>#,##0.00</c:formatCode>
                <c:ptCount val="1"/>
                <c:pt idx="0">
                  <c:v>22.42678490642831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'KG Req'!$C$13</c:f>
              <c:strCache>
                <c:ptCount val="1"/>
                <c:pt idx="0">
                  <c:v>Arrival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</c:marker>
          <c:xVal>
            <c:numRef>
              <c:f>'KG Req'!$D$13</c:f>
              <c:numCache>
                <c:formatCode>0.00</c:formatCode>
                <c:ptCount val="1"/>
                <c:pt idx="0">
                  <c:v>17.855</c:v>
                </c:pt>
              </c:numCache>
            </c:numRef>
          </c:xVal>
          <c:yVal>
            <c:numRef>
              <c:f>'KG Req'!$H$13</c:f>
              <c:numCache>
                <c:formatCode>#,##0.00</c:formatCode>
                <c:ptCount val="1"/>
                <c:pt idx="0">
                  <c:v>22.298420194985294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'KG Req'!$C$14</c:f>
              <c:strCache>
                <c:ptCount val="1"/>
                <c:pt idx="0">
                  <c:v>Arrival + Ice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noFill/>
            </c:spPr>
          </c:marker>
          <c:xVal>
            <c:numRef>
              <c:f>'KG Req'!$D$14</c:f>
              <c:numCache>
                <c:formatCode>0.00</c:formatCode>
                <c:ptCount val="1"/>
                <c:pt idx="0">
                  <c:v>18.121099999999998</c:v>
                </c:pt>
              </c:numCache>
            </c:numRef>
          </c:xVal>
          <c:yVal>
            <c:numRef>
              <c:f>'KG Req'!$H$14</c:f>
              <c:numCache>
                <c:formatCode>#,##0.00</c:formatCode>
                <c:ptCount val="1"/>
                <c:pt idx="0">
                  <c:v>22.760127134849263</c:v>
                </c:pt>
              </c:numCache>
            </c:numRef>
          </c:yVal>
          <c:smooth val="1"/>
        </c:ser>
        <c:axId val="50747648"/>
        <c:axId val="50770688"/>
      </c:scatterChart>
      <c:valAx>
        <c:axId val="50747648"/>
        <c:scaling>
          <c:orientation val="minMax"/>
          <c:max val="20"/>
          <c:min val="15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Draft (ft)</a:t>
                </a:r>
              </a:p>
            </c:rich>
          </c:tx>
        </c:title>
        <c:numFmt formatCode="General" sourceLinked="1"/>
        <c:minorTickMark val="out"/>
        <c:tickLblPos val="nextTo"/>
        <c:crossAx val="50770688"/>
        <c:crosses val="autoZero"/>
        <c:crossBetween val="midCat"/>
        <c:majorUnit val="0.5"/>
        <c:minorUnit val="0.1"/>
      </c:valAx>
      <c:valAx>
        <c:axId val="50770688"/>
        <c:scaling>
          <c:orientation val="minMax"/>
          <c:max val="25"/>
          <c:min val="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 </a:t>
                </a:r>
                <a:r>
                  <a:rPr lang="en-US" baseline="0"/>
                  <a:t>(ft)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955428398142183E-2"/>
              <c:y val="0.47140795842730715"/>
            </c:manualLayout>
          </c:layout>
        </c:title>
        <c:numFmt formatCode="General" sourceLinked="1"/>
        <c:minorTickMark val="in"/>
        <c:tickLblPos val="nextTo"/>
        <c:crossAx val="50747648"/>
        <c:crosses val="autoZero"/>
        <c:crossBetween val="midCat"/>
        <c:majorUnit val="0.5"/>
        <c:minorUnit val="0.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653392348452112"/>
          <c:y val="0.68562728440170473"/>
          <c:w val="0.27071186440677963"/>
          <c:h val="0.21943326366341209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</c:chart>
  <c:printSettings>
    <c:headerFooter/>
    <c:pageMargins b="0.75000000000000355" l="0.70000000000000095" r="0.70000000000000095" t="0.75000000000000355" header="0.30000000000000032" footer="0.30000000000000032"/>
    <c:pageSetup orientation="portrait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Allowable KG Curve</a:t>
            </a:r>
          </a:p>
        </c:rich>
      </c:tx>
    </c:title>
    <c:plotArea>
      <c:layout>
        <c:manualLayout>
          <c:layoutTarget val="inner"/>
          <c:xMode val="edge"/>
          <c:yMode val="edge"/>
          <c:x val="0.12614026884584273"/>
          <c:y val="9.3505686789151568E-2"/>
          <c:w val="0.82934092043938501"/>
          <c:h val="0.85082397200350757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'KG Req'!$D$25:$D$51</c:f>
              <c:numCache>
                <c:formatCode>General</c:formatCode>
                <c:ptCount val="27"/>
                <c:pt idx="0">
                  <c:v>14.678000000000001</c:v>
                </c:pt>
                <c:pt idx="1">
                  <c:v>15</c:v>
                </c:pt>
                <c:pt idx="2">
                  <c:v>15.2</c:v>
                </c:pt>
                <c:pt idx="3">
                  <c:v>15.4</c:v>
                </c:pt>
                <c:pt idx="4">
                  <c:v>15.6</c:v>
                </c:pt>
                <c:pt idx="5">
                  <c:v>15.8</c:v>
                </c:pt>
                <c:pt idx="6">
                  <c:v>16</c:v>
                </c:pt>
                <c:pt idx="7">
                  <c:v>16.2</c:v>
                </c:pt>
                <c:pt idx="8">
                  <c:v>16.399999999999999</c:v>
                </c:pt>
                <c:pt idx="9">
                  <c:v>16.600000000000001</c:v>
                </c:pt>
                <c:pt idx="10">
                  <c:v>16.8</c:v>
                </c:pt>
                <c:pt idx="11">
                  <c:v>17</c:v>
                </c:pt>
                <c:pt idx="12">
                  <c:v>17.2</c:v>
                </c:pt>
                <c:pt idx="13">
                  <c:v>17.399999999999999</c:v>
                </c:pt>
                <c:pt idx="14">
                  <c:v>17.600000000000001</c:v>
                </c:pt>
                <c:pt idx="15">
                  <c:v>17.8</c:v>
                </c:pt>
                <c:pt idx="16">
                  <c:v>18</c:v>
                </c:pt>
                <c:pt idx="17">
                  <c:v>18.2</c:v>
                </c:pt>
                <c:pt idx="18">
                  <c:v>18.399999999999999</c:v>
                </c:pt>
                <c:pt idx="19">
                  <c:v>18.600000000000001</c:v>
                </c:pt>
                <c:pt idx="20">
                  <c:v>18.8</c:v>
                </c:pt>
                <c:pt idx="21">
                  <c:v>19</c:v>
                </c:pt>
                <c:pt idx="22">
                  <c:v>19.2</c:v>
                </c:pt>
                <c:pt idx="23">
                  <c:v>19.399999999999999</c:v>
                </c:pt>
                <c:pt idx="24">
                  <c:v>19.600000000000001</c:v>
                </c:pt>
                <c:pt idx="25">
                  <c:v>19.8</c:v>
                </c:pt>
                <c:pt idx="26">
                  <c:v>20</c:v>
                </c:pt>
              </c:numCache>
            </c:numRef>
          </c:xVal>
          <c:yVal>
            <c:numRef>
              <c:f>'KG Req'!$F$25:$F$51</c:f>
              <c:numCache>
                <c:formatCode>General</c:formatCode>
                <c:ptCount val="27"/>
                <c:pt idx="0">
                  <c:v>23.89</c:v>
                </c:pt>
                <c:pt idx="1">
                  <c:v>23.812999999999999</c:v>
                </c:pt>
                <c:pt idx="2">
                  <c:v>23.774999999999999</c:v>
                </c:pt>
                <c:pt idx="3">
                  <c:v>23.736999999999998</c:v>
                </c:pt>
                <c:pt idx="4">
                  <c:v>23.695399999999999</c:v>
                </c:pt>
                <c:pt idx="5">
                  <c:v>23.650200000000002</c:v>
                </c:pt>
                <c:pt idx="6">
                  <c:v>23.605</c:v>
                </c:pt>
                <c:pt idx="7">
                  <c:v>23.561800000000002</c:v>
                </c:pt>
                <c:pt idx="8">
                  <c:v>23.518599999999999</c:v>
                </c:pt>
                <c:pt idx="9">
                  <c:v>23.478400000000001</c:v>
                </c:pt>
                <c:pt idx="10">
                  <c:v>23.441199999999998</c:v>
                </c:pt>
                <c:pt idx="11">
                  <c:v>23.404</c:v>
                </c:pt>
                <c:pt idx="12">
                  <c:v>23.372399999999999</c:v>
                </c:pt>
                <c:pt idx="13">
                  <c:v>23.340799999999998</c:v>
                </c:pt>
                <c:pt idx="14">
                  <c:v>23.311399999999999</c:v>
                </c:pt>
                <c:pt idx="15">
                  <c:v>23.284200000000002</c:v>
                </c:pt>
                <c:pt idx="16">
                  <c:v>23.257000000000001</c:v>
                </c:pt>
                <c:pt idx="17">
                  <c:v>23.2334</c:v>
                </c:pt>
                <c:pt idx="18">
                  <c:v>23.209800000000001</c:v>
                </c:pt>
                <c:pt idx="19">
                  <c:v>23.189</c:v>
                </c:pt>
                <c:pt idx="20">
                  <c:v>23.170999999999999</c:v>
                </c:pt>
                <c:pt idx="21">
                  <c:v>23.152999999999999</c:v>
                </c:pt>
                <c:pt idx="22">
                  <c:v>23.076999999999998</c:v>
                </c:pt>
                <c:pt idx="23">
                  <c:v>23.001000000000001</c:v>
                </c:pt>
                <c:pt idx="24">
                  <c:v>22.9116</c:v>
                </c:pt>
                <c:pt idx="25">
                  <c:v>22.808799999999998</c:v>
                </c:pt>
                <c:pt idx="26">
                  <c:v>22.706</c:v>
                </c:pt>
              </c:numCache>
            </c:numRef>
          </c:yVal>
          <c:smooth val="1"/>
        </c:ser>
        <c:axId val="50909568"/>
        <c:axId val="50983296"/>
      </c:scatterChart>
      <c:valAx>
        <c:axId val="50909568"/>
        <c:scaling>
          <c:orientation val="minMax"/>
          <c:max val="20"/>
          <c:min val="15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Draft (ft)</a:t>
                </a:r>
              </a:p>
            </c:rich>
          </c:tx>
        </c:title>
        <c:numFmt formatCode="General" sourceLinked="1"/>
        <c:minorTickMark val="out"/>
        <c:tickLblPos val="nextTo"/>
        <c:crossAx val="50983296"/>
        <c:crosses val="autoZero"/>
        <c:crossBetween val="midCat"/>
        <c:majorUnit val="0.5"/>
        <c:minorUnit val="0.1"/>
      </c:valAx>
      <c:valAx>
        <c:axId val="50983296"/>
        <c:scaling>
          <c:orientation val="minMax"/>
          <c:max val="25"/>
          <c:min val="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 </a:t>
                </a:r>
                <a:r>
                  <a:rPr lang="en-US" baseline="0"/>
                  <a:t>(ft)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95542839814219E-2"/>
              <c:y val="0.47140795842730715"/>
            </c:manualLayout>
          </c:layout>
        </c:title>
        <c:numFmt formatCode="General" sourceLinked="1"/>
        <c:minorTickMark val="in"/>
        <c:tickLblPos val="nextTo"/>
        <c:crossAx val="50909568"/>
        <c:crosses val="autoZero"/>
        <c:crossBetween val="midCat"/>
        <c:majorUnit val="0.5"/>
        <c:minorUnit val="0.1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Required GMt</a:t>
            </a:r>
            <a:r>
              <a:rPr lang="en-US" baseline="0"/>
              <a:t> </a:t>
            </a:r>
            <a:r>
              <a:rPr lang="en-US"/>
              <a:t>Curve</a:t>
            </a:r>
          </a:p>
        </c:rich>
      </c:tx>
    </c:title>
    <c:plotArea>
      <c:layout>
        <c:manualLayout>
          <c:layoutTarget val="inner"/>
          <c:xMode val="edge"/>
          <c:yMode val="edge"/>
          <c:x val="0.12614026884584273"/>
          <c:y val="9.3505686789151568E-2"/>
          <c:w val="0.82934092043938523"/>
          <c:h val="0.85082397200350812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'KG Req'!$E$25:$E$51</c:f>
              <c:numCache>
                <c:formatCode>0.00</c:formatCode>
                <c:ptCount val="27"/>
                <c:pt idx="0" formatCode="General">
                  <c:v>2.62</c:v>
                </c:pt>
                <c:pt idx="1">
                  <c:v>2.5370000000000026</c:v>
                </c:pt>
                <c:pt idx="2">
                  <c:v>2.4750000000000014</c:v>
                </c:pt>
                <c:pt idx="3">
                  <c:v>2.4230000000000018</c:v>
                </c:pt>
                <c:pt idx="4">
                  <c:v>2.3645999999999994</c:v>
                </c:pt>
                <c:pt idx="5">
                  <c:v>2.3297999999999988</c:v>
                </c:pt>
                <c:pt idx="6">
                  <c:v>2.2850000000000001</c:v>
                </c:pt>
                <c:pt idx="7">
                  <c:v>2.2481999999999971</c:v>
                </c:pt>
                <c:pt idx="8">
                  <c:v>2.2114000000000011</c:v>
                </c:pt>
                <c:pt idx="9">
                  <c:v>2.171599999999998</c:v>
                </c:pt>
                <c:pt idx="10">
                  <c:v>2.1488000000000014</c:v>
                </c:pt>
                <c:pt idx="11">
                  <c:v>2.1159999999999997</c:v>
                </c:pt>
                <c:pt idx="12">
                  <c:v>2.0975999999999999</c:v>
                </c:pt>
                <c:pt idx="13">
                  <c:v>2.0792000000000037</c:v>
                </c:pt>
                <c:pt idx="14">
                  <c:v>2.058600000000002</c:v>
                </c:pt>
                <c:pt idx="15">
                  <c:v>2.0357999999999983</c:v>
                </c:pt>
                <c:pt idx="16">
                  <c:v>2.0229999999999997</c:v>
                </c:pt>
                <c:pt idx="17">
                  <c:v>2.0065999999999988</c:v>
                </c:pt>
                <c:pt idx="18">
                  <c:v>2.0001999999999995</c:v>
                </c:pt>
                <c:pt idx="19">
                  <c:v>1.9909999999999997</c:v>
                </c:pt>
                <c:pt idx="20">
                  <c:v>1.9789999999999992</c:v>
                </c:pt>
                <c:pt idx="21">
                  <c:v>1.9969999999999999</c:v>
                </c:pt>
                <c:pt idx="22">
                  <c:v>2.0530000000000008</c:v>
                </c:pt>
                <c:pt idx="23">
                  <c:v>2.1089999999999982</c:v>
                </c:pt>
                <c:pt idx="24">
                  <c:v>2.1783999999999999</c:v>
                </c:pt>
                <c:pt idx="25">
                  <c:v>2.2612000000000023</c:v>
                </c:pt>
                <c:pt idx="26">
                  <c:v>2.3539999999999992</c:v>
                </c:pt>
              </c:numCache>
            </c:numRef>
          </c:xVal>
          <c:yVal>
            <c:numRef>
              <c:f>'KG Req'!$D$25:$D$51</c:f>
              <c:numCache>
                <c:formatCode>General</c:formatCode>
                <c:ptCount val="27"/>
                <c:pt idx="0">
                  <c:v>14.678000000000001</c:v>
                </c:pt>
                <c:pt idx="1">
                  <c:v>15</c:v>
                </c:pt>
                <c:pt idx="2">
                  <c:v>15.2</c:v>
                </c:pt>
                <c:pt idx="3">
                  <c:v>15.4</c:v>
                </c:pt>
                <c:pt idx="4">
                  <c:v>15.6</c:v>
                </c:pt>
                <c:pt idx="5">
                  <c:v>15.8</c:v>
                </c:pt>
                <c:pt idx="6">
                  <c:v>16</c:v>
                </c:pt>
                <c:pt idx="7">
                  <c:v>16.2</c:v>
                </c:pt>
                <c:pt idx="8">
                  <c:v>16.399999999999999</c:v>
                </c:pt>
                <c:pt idx="9">
                  <c:v>16.600000000000001</c:v>
                </c:pt>
                <c:pt idx="10">
                  <c:v>16.8</c:v>
                </c:pt>
                <c:pt idx="11">
                  <c:v>17</c:v>
                </c:pt>
                <c:pt idx="12">
                  <c:v>17.2</c:v>
                </c:pt>
                <c:pt idx="13">
                  <c:v>17.399999999999999</c:v>
                </c:pt>
                <c:pt idx="14">
                  <c:v>17.600000000000001</c:v>
                </c:pt>
                <c:pt idx="15">
                  <c:v>17.8</c:v>
                </c:pt>
                <c:pt idx="16">
                  <c:v>18</c:v>
                </c:pt>
                <c:pt idx="17">
                  <c:v>18.2</c:v>
                </c:pt>
                <c:pt idx="18">
                  <c:v>18.399999999999999</c:v>
                </c:pt>
                <c:pt idx="19">
                  <c:v>18.600000000000001</c:v>
                </c:pt>
                <c:pt idx="20">
                  <c:v>18.8</c:v>
                </c:pt>
                <c:pt idx="21">
                  <c:v>19</c:v>
                </c:pt>
                <c:pt idx="22">
                  <c:v>19.2</c:v>
                </c:pt>
                <c:pt idx="23">
                  <c:v>19.399999999999999</c:v>
                </c:pt>
                <c:pt idx="24">
                  <c:v>19.600000000000001</c:v>
                </c:pt>
                <c:pt idx="25">
                  <c:v>19.8</c:v>
                </c:pt>
                <c:pt idx="26">
                  <c:v>20</c:v>
                </c:pt>
              </c:numCache>
            </c:numRef>
          </c:yVal>
          <c:smooth val="1"/>
        </c:ser>
        <c:axId val="50836992"/>
        <c:axId val="50838912"/>
      </c:scatterChart>
      <c:valAx>
        <c:axId val="50836992"/>
        <c:scaling>
          <c:orientation val="minMax"/>
          <c:max val="4"/>
          <c:min val="1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Draft (ft)</a:t>
                </a:r>
              </a:p>
            </c:rich>
          </c:tx>
        </c:title>
        <c:numFmt formatCode="General" sourceLinked="1"/>
        <c:minorTickMark val="out"/>
        <c:tickLblPos val="nextTo"/>
        <c:crossAx val="50838912"/>
        <c:crosses val="autoZero"/>
        <c:crossBetween val="midCat"/>
        <c:majorUnit val="0.5"/>
        <c:minorUnit val="0.1"/>
      </c:valAx>
      <c:valAx>
        <c:axId val="50838912"/>
        <c:scaling>
          <c:orientation val="minMax"/>
          <c:max val="20"/>
          <c:min val="1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 </a:t>
                </a:r>
                <a:r>
                  <a:rPr lang="en-US" baseline="0"/>
                  <a:t>(ft)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955428398142197E-2"/>
              <c:y val="0.47140795842730715"/>
            </c:manualLayout>
          </c:layout>
        </c:title>
        <c:numFmt formatCode="General" sourceLinked="1"/>
        <c:minorTickMark val="in"/>
        <c:tickLblPos val="nextTo"/>
        <c:crossAx val="50836992"/>
        <c:crosses val="autoZero"/>
        <c:crossBetween val="midCat"/>
        <c:majorUnit val="0.5"/>
        <c:minorUnit val="0.1"/>
      </c:valAx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Icing Allowable</a:t>
            </a:r>
            <a:r>
              <a:rPr lang="en-US" baseline="0"/>
              <a:t> </a:t>
            </a:r>
            <a:r>
              <a:rPr lang="en-US"/>
              <a:t>KG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Icing!$O$4:$O$30</c:f>
              <c:numCache>
                <c:formatCode>General</c:formatCode>
                <c:ptCount val="27"/>
                <c:pt idx="0">
                  <c:v>14.763999999999999</c:v>
                </c:pt>
                <c:pt idx="1">
                  <c:v>15</c:v>
                </c:pt>
                <c:pt idx="2">
                  <c:v>15.2</c:v>
                </c:pt>
                <c:pt idx="3">
                  <c:v>15.4</c:v>
                </c:pt>
                <c:pt idx="4">
                  <c:v>15.6</c:v>
                </c:pt>
                <c:pt idx="5">
                  <c:v>15.8</c:v>
                </c:pt>
                <c:pt idx="6">
                  <c:v>16</c:v>
                </c:pt>
                <c:pt idx="7">
                  <c:v>16.2</c:v>
                </c:pt>
                <c:pt idx="8">
                  <c:v>16.399999999999999</c:v>
                </c:pt>
                <c:pt idx="9">
                  <c:v>16.600000000000001</c:v>
                </c:pt>
                <c:pt idx="10">
                  <c:v>16.8</c:v>
                </c:pt>
                <c:pt idx="11">
                  <c:v>17</c:v>
                </c:pt>
                <c:pt idx="12">
                  <c:v>17.2</c:v>
                </c:pt>
                <c:pt idx="13">
                  <c:v>17.399999999999999</c:v>
                </c:pt>
                <c:pt idx="14">
                  <c:v>17.600000000000001</c:v>
                </c:pt>
                <c:pt idx="15">
                  <c:v>17.8</c:v>
                </c:pt>
                <c:pt idx="16">
                  <c:v>18</c:v>
                </c:pt>
                <c:pt idx="17">
                  <c:v>18.2</c:v>
                </c:pt>
                <c:pt idx="18">
                  <c:v>18.399999999999999</c:v>
                </c:pt>
                <c:pt idx="19">
                  <c:v>18.600000000000001</c:v>
                </c:pt>
                <c:pt idx="20">
                  <c:v>18.8</c:v>
                </c:pt>
                <c:pt idx="21">
                  <c:v>19</c:v>
                </c:pt>
                <c:pt idx="22">
                  <c:v>19.2</c:v>
                </c:pt>
                <c:pt idx="23">
                  <c:v>19.399999999999999</c:v>
                </c:pt>
                <c:pt idx="24">
                  <c:v>19.600000000000001</c:v>
                </c:pt>
                <c:pt idx="25">
                  <c:v>19.8</c:v>
                </c:pt>
                <c:pt idx="26">
                  <c:v>20</c:v>
                </c:pt>
              </c:numCache>
            </c:numRef>
          </c:xVal>
          <c:yVal>
            <c:numRef>
              <c:f>Icing!$Q$4:$Q$30</c:f>
              <c:numCache>
                <c:formatCode>General</c:formatCode>
                <c:ptCount val="27"/>
                <c:pt idx="0">
                  <c:v>23.89</c:v>
                </c:pt>
                <c:pt idx="1">
                  <c:v>23.812999999999999</c:v>
                </c:pt>
                <c:pt idx="2">
                  <c:v>23.774999999999999</c:v>
                </c:pt>
                <c:pt idx="3">
                  <c:v>23.736999999999998</c:v>
                </c:pt>
                <c:pt idx="4">
                  <c:v>23.695399999999999</c:v>
                </c:pt>
                <c:pt idx="5">
                  <c:v>23.650200000000002</c:v>
                </c:pt>
                <c:pt idx="6">
                  <c:v>23.605</c:v>
                </c:pt>
                <c:pt idx="7">
                  <c:v>23.561800000000002</c:v>
                </c:pt>
                <c:pt idx="8">
                  <c:v>23.518599999999999</c:v>
                </c:pt>
                <c:pt idx="9">
                  <c:v>23.478400000000001</c:v>
                </c:pt>
                <c:pt idx="10">
                  <c:v>23.441199999999998</c:v>
                </c:pt>
                <c:pt idx="11">
                  <c:v>23.404</c:v>
                </c:pt>
                <c:pt idx="12">
                  <c:v>23.372399999999999</c:v>
                </c:pt>
                <c:pt idx="13">
                  <c:v>23.340799999999998</c:v>
                </c:pt>
                <c:pt idx="14">
                  <c:v>23.311399999999999</c:v>
                </c:pt>
                <c:pt idx="15">
                  <c:v>23.284200000000002</c:v>
                </c:pt>
                <c:pt idx="16">
                  <c:v>23.257000000000001</c:v>
                </c:pt>
                <c:pt idx="17">
                  <c:v>23.2334</c:v>
                </c:pt>
                <c:pt idx="18">
                  <c:v>23.209800000000001</c:v>
                </c:pt>
                <c:pt idx="19">
                  <c:v>23.189</c:v>
                </c:pt>
                <c:pt idx="20">
                  <c:v>23.170999999999999</c:v>
                </c:pt>
                <c:pt idx="21">
                  <c:v>23.152999999999999</c:v>
                </c:pt>
                <c:pt idx="22">
                  <c:v>23.076999999999998</c:v>
                </c:pt>
                <c:pt idx="23">
                  <c:v>23.001000000000001</c:v>
                </c:pt>
                <c:pt idx="24">
                  <c:v>22.9116</c:v>
                </c:pt>
                <c:pt idx="25">
                  <c:v>22.808799999999998</c:v>
                </c:pt>
                <c:pt idx="26">
                  <c:v>22.706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Icing!$S$4</c:f>
              <c:strCache>
                <c:ptCount val="1"/>
                <c:pt idx="0">
                  <c:v>Departure</c:v>
                </c:pt>
              </c:strCache>
            </c:strRef>
          </c:tx>
          <c:xVal>
            <c:numRef>
              <c:f>Icing!$U$4:$U$6</c:f>
              <c:numCache>
                <c:formatCode>0.000</c:formatCode>
                <c:ptCount val="3"/>
                <c:pt idx="0">
                  <c:v>18.846</c:v>
                </c:pt>
                <c:pt idx="1">
                  <c:v>18.975999999999999</c:v>
                </c:pt>
                <c:pt idx="2">
                  <c:v>19.105</c:v>
                </c:pt>
              </c:numCache>
            </c:numRef>
          </c:xVal>
          <c:yVal>
            <c:numRef>
              <c:f>Icing!$W$4:$W$6</c:f>
              <c:numCache>
                <c:formatCode>#,##0.00</c:formatCode>
                <c:ptCount val="3"/>
                <c:pt idx="0">
                  <c:v>21.953808908973532</c:v>
                </c:pt>
                <c:pt idx="1">
                  <c:v>22.183808908973532</c:v>
                </c:pt>
                <c:pt idx="2">
                  <c:v>22.413808908973532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Icing!$S$7</c:f>
              <c:strCache>
                <c:ptCount val="1"/>
                <c:pt idx="0">
                  <c:v>Mid Voyage</c:v>
                </c:pt>
              </c:strCache>
            </c:strRef>
          </c:tx>
          <c:xVal>
            <c:numRef>
              <c:f>Icing!$U$7:$U$9</c:f>
              <c:numCache>
                <c:formatCode>0.000</c:formatCode>
                <c:ptCount val="3"/>
                <c:pt idx="0">
                  <c:v>18.251000000000001</c:v>
                </c:pt>
                <c:pt idx="1">
                  <c:v>18.38</c:v>
                </c:pt>
                <c:pt idx="2">
                  <c:v>18.510000000000002</c:v>
                </c:pt>
              </c:numCache>
            </c:numRef>
          </c:xVal>
          <c:yVal>
            <c:numRef>
              <c:f>Icing!$W$7:$W$9</c:f>
              <c:numCache>
                <c:formatCode>#,##0.00</c:formatCode>
                <c:ptCount val="3"/>
                <c:pt idx="0">
                  <c:v>22.120504410194698</c:v>
                </c:pt>
                <c:pt idx="1">
                  <c:v>22.3605044101947</c:v>
                </c:pt>
                <c:pt idx="2">
                  <c:v>22.600504410194699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Icing!$S$10</c:f>
              <c:strCache>
                <c:ptCount val="1"/>
                <c:pt idx="0">
                  <c:v>Arrival</c:v>
                </c:pt>
              </c:strCache>
            </c:strRef>
          </c:tx>
          <c:xVal>
            <c:numRef>
              <c:f>Icing!$U$10:$U$12</c:f>
              <c:numCache>
                <c:formatCode>0.000</c:formatCode>
                <c:ptCount val="3"/>
                <c:pt idx="0">
                  <c:v>17.856000000000002</c:v>
                </c:pt>
                <c:pt idx="1">
                  <c:v>17.988</c:v>
                </c:pt>
                <c:pt idx="2">
                  <c:v>18.12</c:v>
                </c:pt>
              </c:numCache>
            </c:numRef>
          </c:xVal>
          <c:yVal>
            <c:numRef>
              <c:f>Icing!$W$10:$W$12</c:f>
              <c:numCache>
                <c:formatCode>#,##0.00</c:formatCode>
                <c:ptCount val="3"/>
                <c:pt idx="0">
                  <c:v>22.229151529356614</c:v>
                </c:pt>
                <c:pt idx="1">
                  <c:v>22.479151529356614</c:v>
                </c:pt>
                <c:pt idx="2">
                  <c:v>22.719151529356616</c:v>
                </c:pt>
              </c:numCache>
            </c:numRef>
          </c:yVal>
          <c:smooth val="1"/>
        </c:ser>
        <c:axId val="51061504"/>
        <c:axId val="51063424"/>
      </c:scatterChart>
      <c:valAx>
        <c:axId val="51061504"/>
        <c:scaling>
          <c:orientation val="minMax"/>
          <c:max val="20"/>
          <c:min val="15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Draft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layout/>
        </c:title>
        <c:numFmt formatCode="General" sourceLinked="1"/>
        <c:minorTickMark val="out"/>
        <c:tickLblPos val="nextTo"/>
        <c:crossAx val="51063424"/>
        <c:crosses val="autoZero"/>
        <c:crossBetween val="midCat"/>
        <c:majorUnit val="0.5"/>
        <c:minorUnit val="0.1"/>
      </c:valAx>
      <c:valAx>
        <c:axId val="51063424"/>
        <c:scaling>
          <c:orientation val="minMax"/>
          <c:max val="25"/>
          <c:min val="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 (ft)</a:t>
                </a:r>
              </a:p>
            </c:rich>
          </c:tx>
          <c:layout/>
        </c:title>
        <c:numFmt formatCode="General" sourceLinked="1"/>
        <c:minorTickMark val="in"/>
        <c:tickLblPos val="nextTo"/>
        <c:crossAx val="51061504"/>
        <c:crosses val="autoZero"/>
        <c:crossBetween val="midCat"/>
        <c:majorUnit val="0.5"/>
        <c:minorUnit val="0.1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landscape" verticalDpi="0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30</xdr:row>
      <xdr:rowOff>123825</xdr:rowOff>
    </xdr:from>
    <xdr:to>
      <xdr:col>12</xdr:col>
      <xdr:colOff>409575</xdr:colOff>
      <xdr:row>57</xdr:row>
      <xdr:rowOff>114300</xdr:rowOff>
    </xdr:to>
    <xdr:graphicFrame macro="">
      <xdr:nvGraphicFramePr>
        <xdr:cNvPr id="287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2</xdr:row>
      <xdr:rowOff>0</xdr:rowOff>
    </xdr:from>
    <xdr:to>
      <xdr:col>20</xdr:col>
      <xdr:colOff>304799</xdr:colOff>
      <xdr:row>35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493059</xdr:colOff>
      <xdr:row>37</xdr:row>
      <xdr:rowOff>22412</xdr:rowOff>
    </xdr:from>
    <xdr:to>
      <xdr:col>20</xdr:col>
      <xdr:colOff>397808</xdr:colOff>
      <xdr:row>71</xdr:row>
      <xdr:rowOff>14568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2</xdr:row>
      <xdr:rowOff>0</xdr:rowOff>
    </xdr:from>
    <xdr:to>
      <xdr:col>30</xdr:col>
      <xdr:colOff>532279</xdr:colOff>
      <xdr:row>35</xdr:row>
      <xdr:rowOff>149038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0.00434</cdr:x>
      <cdr:y>0.00427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0.35057</cdr:x>
      <cdr:y>0.14182</cdr:y>
    </cdr:from>
    <cdr:to>
      <cdr:x>0.65828</cdr:x>
      <cdr:y>0.22755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60136" y="919072"/>
          <a:ext cx="1632705" cy="55556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DOES NOT MEET </a:t>
          </a:r>
          <a:endParaRPr lang="en-US" sz="1100" b="0" i="0" baseline="0">
            <a:latin typeface="Calibri"/>
          </a:endParaRPr>
        </a:p>
        <a:p xmlns:a="http://schemas.openxmlformats.org/drawingml/2006/main">
          <a:pPr algn="ctr"/>
          <a:r>
            <a:rPr lang="en-US" sz="1200"/>
            <a:t>STABILITY CRITERIA</a:t>
          </a:r>
        </a:p>
      </cdr:txBody>
    </cdr:sp>
  </cdr:relSizeAnchor>
  <cdr:relSizeAnchor xmlns:cdr="http://schemas.openxmlformats.org/drawingml/2006/chartDrawing">
    <cdr:from>
      <cdr:x>0.25266</cdr:x>
      <cdr:y>0.78925</cdr:y>
    </cdr:from>
    <cdr:to>
      <cdr:x>0.46815</cdr:x>
      <cdr:y>0.91213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40611" y="5114640"/>
          <a:ext cx="1143386" cy="7963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DOES MEET </a:t>
          </a:r>
          <a:endParaRPr lang="en-US" sz="1100" b="0" i="0" baseline="0">
            <a:latin typeface="Calibri"/>
          </a:endParaRPr>
        </a:p>
        <a:p xmlns:a="http://schemas.openxmlformats.org/drawingml/2006/main">
          <a:pPr algn="ctr"/>
          <a:r>
            <a:rPr lang="en-US" sz="1200"/>
            <a:t>STABILITY CRITERIA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0.00434</cdr:x>
      <cdr:y>0.00427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0.35057</cdr:x>
      <cdr:y>0.14182</cdr:y>
    </cdr:from>
    <cdr:to>
      <cdr:x>0.65828</cdr:x>
      <cdr:y>0.22755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860136" y="919072"/>
          <a:ext cx="1632705" cy="55556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DOES NOT MEET </a:t>
          </a:r>
          <a:endParaRPr lang="en-US" sz="1100" b="0" i="0" baseline="0">
            <a:latin typeface="Calibri"/>
          </a:endParaRPr>
        </a:p>
        <a:p xmlns:a="http://schemas.openxmlformats.org/drawingml/2006/main">
          <a:pPr algn="ctr"/>
          <a:r>
            <a:rPr lang="en-US" sz="1200"/>
            <a:t>STABILITY CRITERIA</a:t>
          </a:r>
        </a:p>
      </cdr:txBody>
    </cdr:sp>
  </cdr:relSizeAnchor>
  <cdr:relSizeAnchor xmlns:cdr="http://schemas.openxmlformats.org/drawingml/2006/chartDrawing">
    <cdr:from>
      <cdr:x>0.25266</cdr:x>
      <cdr:y>0.78925</cdr:y>
    </cdr:from>
    <cdr:to>
      <cdr:x>0.46815</cdr:x>
      <cdr:y>0.91213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340611" y="5114640"/>
          <a:ext cx="1143386" cy="7963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DOES MEET </a:t>
          </a:r>
          <a:endParaRPr lang="en-US" sz="1100" b="0" i="0" baseline="0">
            <a:latin typeface="Calibri"/>
          </a:endParaRPr>
        </a:p>
        <a:p xmlns:a="http://schemas.openxmlformats.org/drawingml/2006/main">
          <a:pPr algn="ctr"/>
          <a:r>
            <a:rPr lang="en-US" sz="1200"/>
            <a:t>STABILITY CRITERIA</a:t>
          </a:r>
        </a:p>
      </cdr:txBody>
    </cdr:sp>
  </cdr:relSizeAnchor>
  <cdr:relSizeAnchor xmlns:cdr="http://schemas.openxmlformats.org/drawingml/2006/chartDrawing">
    <cdr:from>
      <cdr:x>0.33195</cdr:x>
      <cdr:y>0.29572</cdr:y>
    </cdr:from>
    <cdr:to>
      <cdr:x>0.80739</cdr:x>
      <cdr:y>0.32854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761322" y="1919664"/>
          <a:ext cx="2522677" cy="213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ALLOWABLE KG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0.00434</cdr:x>
      <cdr:y>0.00427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0.35057</cdr:x>
      <cdr:y>0.14182</cdr:y>
    </cdr:from>
    <cdr:to>
      <cdr:x>0.65828</cdr:x>
      <cdr:y>0.22755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60136" y="919072"/>
          <a:ext cx="1632705" cy="55556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DOES NOT MEET </a:t>
          </a:r>
          <a:endParaRPr lang="en-US" sz="1100" b="0" i="0" baseline="0">
            <a:latin typeface="Calibri"/>
          </a:endParaRPr>
        </a:p>
        <a:p xmlns:a="http://schemas.openxmlformats.org/drawingml/2006/main">
          <a:pPr algn="ctr"/>
          <a:r>
            <a:rPr lang="en-US" sz="1200"/>
            <a:t>STABILITY CRITERIA</a:t>
          </a:r>
        </a:p>
      </cdr:txBody>
    </cdr:sp>
  </cdr:relSizeAnchor>
  <cdr:relSizeAnchor xmlns:cdr="http://schemas.openxmlformats.org/drawingml/2006/chartDrawing">
    <cdr:from>
      <cdr:x>0.25266</cdr:x>
      <cdr:y>0.78925</cdr:y>
    </cdr:from>
    <cdr:to>
      <cdr:x>0.46815</cdr:x>
      <cdr:y>0.91213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40611" y="5114640"/>
          <a:ext cx="1143386" cy="7963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DOES MEET </a:t>
          </a:r>
          <a:endParaRPr lang="en-US" sz="1100" b="0" i="0" baseline="0">
            <a:latin typeface="Calibri"/>
          </a:endParaRPr>
        </a:p>
        <a:p xmlns:a="http://schemas.openxmlformats.org/drawingml/2006/main">
          <a:pPr algn="ctr"/>
          <a:r>
            <a:rPr lang="en-US" sz="1200"/>
            <a:t>STABILITY CRITERIA</a:t>
          </a:r>
        </a:p>
      </cdr:txBody>
    </cdr:sp>
  </cdr:relSizeAnchor>
  <cdr:relSizeAnchor xmlns:cdr="http://schemas.openxmlformats.org/drawingml/2006/chartDrawing">
    <cdr:from>
      <cdr:x>0.36748</cdr:x>
      <cdr:y>0.31699</cdr:y>
    </cdr:from>
    <cdr:to>
      <cdr:x>0.84292</cdr:x>
      <cdr:y>0.34993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49823" y="2050677"/>
          <a:ext cx="2522677" cy="213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ALLOWABLE KG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0.00434</cdr:x>
      <cdr:y>0.00427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0.1605</cdr:x>
      <cdr:y>0.84509</cdr:y>
    </cdr:from>
    <cdr:to>
      <cdr:x>0.46821</cdr:x>
      <cdr:y>0.93082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51591" y="5467044"/>
          <a:ext cx="1632705" cy="5546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DOES NOT MEET </a:t>
          </a:r>
          <a:endParaRPr lang="en-US" sz="1100" b="0" i="0" baseline="0">
            <a:latin typeface="Calibri"/>
          </a:endParaRPr>
        </a:p>
        <a:p xmlns:a="http://schemas.openxmlformats.org/drawingml/2006/main">
          <a:pPr algn="ctr"/>
          <a:r>
            <a:rPr lang="en-US" sz="1200"/>
            <a:t>STABILITY CRITERIA</a:t>
          </a:r>
        </a:p>
      </cdr:txBody>
    </cdr:sp>
  </cdr:relSizeAnchor>
  <cdr:relSizeAnchor xmlns:cdr="http://schemas.openxmlformats.org/drawingml/2006/chartDrawing">
    <cdr:from>
      <cdr:x>0.68983</cdr:x>
      <cdr:y>0.78925</cdr:y>
    </cdr:from>
    <cdr:to>
      <cdr:x>0.90532</cdr:x>
      <cdr:y>0.91213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60228" y="5105781"/>
          <a:ext cx="1143387" cy="7949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DOES MEET </a:t>
          </a:r>
          <a:endParaRPr lang="en-US" sz="1100" b="0" i="0" baseline="0">
            <a:latin typeface="Calibri"/>
          </a:endParaRPr>
        </a:p>
        <a:p xmlns:a="http://schemas.openxmlformats.org/drawingml/2006/main">
          <a:pPr algn="ctr"/>
          <a:r>
            <a:rPr lang="en-US" sz="1200"/>
            <a:t>STABILITY CRITERIA</a:t>
          </a:r>
        </a:p>
      </cdr:txBody>
    </cdr:sp>
  </cdr:relSizeAnchor>
  <cdr:relSizeAnchor xmlns:cdr="http://schemas.openxmlformats.org/drawingml/2006/chartDrawing">
    <cdr:from>
      <cdr:x>0.39531</cdr:x>
      <cdr:y>0.3078</cdr:y>
    </cdr:from>
    <cdr:to>
      <cdr:x>0.87075</cdr:x>
      <cdr:y>0.34062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97498" y="1991206"/>
          <a:ext cx="2522677" cy="212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REQUIRED KG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32</xdr:row>
      <xdr:rowOff>85725</xdr:rowOff>
    </xdr:from>
    <xdr:to>
      <xdr:col>20</xdr:col>
      <xdr:colOff>28575</xdr:colOff>
      <xdr:row>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0.77667</cdr:x>
      <cdr:y>0.5923</cdr:y>
    </cdr:from>
    <cdr:to>
      <cdr:x>0.97398</cdr:x>
      <cdr:y>0.63746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08515" y="3481785"/>
          <a:ext cx="840515" cy="26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Departure</a:t>
          </a:r>
        </a:p>
      </cdr:txBody>
    </cdr:sp>
  </cdr:relSizeAnchor>
  <cdr:relSizeAnchor xmlns:cdr="http://schemas.openxmlformats.org/drawingml/2006/chartDrawing">
    <cdr:from>
      <cdr:x>0.54451</cdr:x>
      <cdr:y>0.57874</cdr:y>
    </cdr:from>
    <cdr:to>
      <cdr:x>0.75751</cdr:x>
      <cdr:y>0.6239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19543" y="3402078"/>
          <a:ext cx="907353" cy="26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Mid Voyage</a:t>
          </a:r>
        </a:p>
      </cdr:txBody>
    </cdr:sp>
  </cdr:relSizeAnchor>
  <cdr:relSizeAnchor xmlns:cdr="http://schemas.openxmlformats.org/drawingml/2006/chartDrawing">
    <cdr:from>
      <cdr:x>0.4785</cdr:x>
      <cdr:y>0.53593</cdr:y>
    </cdr:from>
    <cdr:to>
      <cdr:x>0.6915</cdr:x>
      <cdr:y>0.58109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38350" y="3150395"/>
          <a:ext cx="907353" cy="26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none" strike="noStrike">
              <a:latin typeface="+mn-lt"/>
              <a:ea typeface="+mn-ea"/>
              <a:cs typeface="+mn-cs"/>
            </a:rPr>
            <a:t>Arri</a:t>
          </a:r>
          <a:r>
            <a:rPr lang="en-US" sz="1100"/>
            <a:t>val</a:t>
          </a:r>
        </a:p>
      </cdr:txBody>
    </cdr:sp>
  </cdr:relSizeAnchor>
  <cdr:relSizeAnchor xmlns:cdr="http://schemas.openxmlformats.org/drawingml/2006/chartDrawing">
    <cdr:from>
      <cdr:x>0.3722</cdr:x>
      <cdr:y>0.29516</cdr:y>
    </cdr:from>
    <cdr:to>
      <cdr:x>0.90359</cdr:x>
      <cdr:y>0.34032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581153" y="1743074"/>
          <a:ext cx="2257422" cy="266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Allowable KG</a:t>
          </a:r>
        </a:p>
      </cdr:txBody>
    </cdr:sp>
  </cdr:relSizeAnchor>
  <cdr:relSizeAnchor xmlns:cdr="http://schemas.openxmlformats.org/drawingml/2006/chartDrawing">
    <cdr:from>
      <cdr:x>0.24439</cdr:x>
      <cdr:y>0.15645</cdr:y>
    </cdr:from>
    <cdr:to>
      <cdr:x>0.57399</cdr:x>
      <cdr:y>0.23387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038203" y="923915"/>
          <a:ext cx="1400191" cy="4572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DOES NOT MEET STABILTY CRITERIA</a:t>
          </a:r>
        </a:p>
      </cdr:txBody>
    </cdr:sp>
  </cdr:relSizeAnchor>
  <cdr:relSizeAnchor xmlns:cdr="http://schemas.openxmlformats.org/drawingml/2006/chartDrawing">
    <cdr:from>
      <cdr:x>0.57848</cdr:x>
      <cdr:y>0.74678</cdr:y>
    </cdr:from>
    <cdr:to>
      <cdr:x>0.90808</cdr:x>
      <cdr:y>0.8242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457452" y="4410085"/>
          <a:ext cx="1400190" cy="4572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DOES</a:t>
          </a:r>
          <a:r>
            <a:rPr lang="en-US" sz="1100" baseline="0"/>
            <a:t> </a:t>
          </a:r>
          <a:r>
            <a:rPr lang="en-US" sz="1100"/>
            <a:t>MEET</a:t>
          </a:r>
        </a:p>
        <a:p xmlns:a="http://schemas.openxmlformats.org/drawingml/2006/main">
          <a:r>
            <a:rPr lang="en-US" sz="1100"/>
            <a:t> STABILTY CRITERIA</a:t>
          </a:r>
        </a:p>
      </cdr:txBody>
    </cdr:sp>
  </cdr:relSizeAnchor>
  <cdr:relSizeAnchor xmlns:cdr="http://schemas.openxmlformats.org/drawingml/2006/chartDrawing">
    <cdr:from>
      <cdr:x>0.35712</cdr:x>
      <cdr:y>0.39754</cdr:y>
    </cdr:from>
    <cdr:to>
      <cdr:x>0.57012</cdr:x>
      <cdr:y>0.4427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521287" y="2336919"/>
          <a:ext cx="907353" cy="26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none" strike="noStrike">
              <a:latin typeface="+mn-lt"/>
              <a:ea typeface="+mn-ea"/>
              <a:cs typeface="+mn-cs"/>
            </a:rPr>
            <a:t>Full Ice Load</a:t>
          </a:r>
          <a:endParaRPr lang="en-US" sz="1100"/>
        </a:p>
      </cdr:txBody>
    </cdr:sp>
  </cdr:relSizeAnchor>
  <cdr:relSizeAnchor xmlns:cdr="http://schemas.openxmlformats.org/drawingml/2006/chartDrawing">
    <cdr:from>
      <cdr:x>0.55265</cdr:x>
      <cdr:y>0.41871</cdr:y>
    </cdr:from>
    <cdr:to>
      <cdr:x>0.59098</cdr:x>
      <cdr:y>0.41871</cdr:y>
    </cdr:to>
    <cdr:sp macro="" textlink="">
      <cdr:nvSpPr>
        <cdr:cNvPr id="21" name="Straight Connector 20"/>
        <cdr:cNvSpPr/>
      </cdr:nvSpPr>
      <cdr:spPr>
        <a:xfrm xmlns:a="http://schemas.openxmlformats.org/drawingml/2006/main">
          <a:off x="2354219" y="2461364"/>
          <a:ext cx="163281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0.59164</cdr:x>
      <cdr:y>0.41996</cdr:y>
    </cdr:from>
    <cdr:to>
      <cdr:x>0.64413</cdr:x>
      <cdr:y>0.45781</cdr:y>
    </cdr:to>
    <cdr:sp macro="" textlink="">
      <cdr:nvSpPr>
        <cdr:cNvPr id="23" name="Straight Connector 22"/>
        <cdr:cNvSpPr/>
      </cdr:nvSpPr>
      <cdr:spPr>
        <a:xfrm xmlns:a="http://schemas.openxmlformats.org/drawingml/2006/main">
          <a:off x="2520311" y="2468691"/>
          <a:ext cx="223601" cy="2224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0.40714</cdr:x>
      <cdr:y>0.46176</cdr:y>
    </cdr:from>
    <cdr:to>
      <cdr:x>0.62014</cdr:x>
      <cdr:y>0.50692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734364" y="2714400"/>
          <a:ext cx="907353" cy="26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none" strike="noStrike">
              <a:latin typeface="+mn-lt"/>
              <a:ea typeface="+mn-ea"/>
              <a:cs typeface="+mn-cs"/>
            </a:rPr>
            <a:t>No Ice</a:t>
          </a:r>
          <a:endParaRPr lang="en-US" sz="1100"/>
        </a:p>
      </cdr:txBody>
    </cdr:sp>
  </cdr:relSizeAnchor>
  <cdr:relSizeAnchor xmlns:cdr="http://schemas.openxmlformats.org/drawingml/2006/chartDrawing">
    <cdr:from>
      <cdr:x>0.51873</cdr:x>
      <cdr:y>0.48684</cdr:y>
    </cdr:from>
    <cdr:to>
      <cdr:x>0.55706</cdr:x>
      <cdr:y>0.48684</cdr:y>
    </cdr:to>
    <cdr:sp macro="" textlink="">
      <cdr:nvSpPr>
        <cdr:cNvPr id="25" name="Straight Connector 24"/>
        <cdr:cNvSpPr/>
      </cdr:nvSpPr>
      <cdr:spPr>
        <a:xfrm xmlns:a="http://schemas.openxmlformats.org/drawingml/2006/main">
          <a:off x="2209724" y="2861846"/>
          <a:ext cx="163281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0.55772</cdr:x>
      <cdr:y>0.48684</cdr:y>
    </cdr:from>
    <cdr:to>
      <cdr:x>0.61318</cdr:x>
      <cdr:y>0.54007</cdr:y>
    </cdr:to>
    <cdr:sp macro="" textlink="">
      <cdr:nvSpPr>
        <cdr:cNvPr id="26" name="Straight Connector 25"/>
        <cdr:cNvSpPr/>
      </cdr:nvSpPr>
      <cdr:spPr>
        <a:xfrm xmlns:a="http://schemas.openxmlformats.org/drawingml/2006/main">
          <a:off x="2375816" y="2861847"/>
          <a:ext cx="236253" cy="3129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\10052_MMC-FSV\Ph_1\Hull_Stability\Engineering\Stability\Oscar%20Stability%20Reference\Incline-Dwt_Oscar_Dys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Freeboards"/>
      <sheetName val="WL Plot"/>
      <sheetName val="Tangents"/>
      <sheetName val="Tan Plot"/>
      <sheetName val="GM Calc"/>
      <sheetName val="As-Surveyed"/>
      <sheetName val="Additions"/>
      <sheetName val="Relocations"/>
      <sheetName val="Deductions"/>
      <sheetName val="Tankage"/>
      <sheetName val="Lightship"/>
      <sheetName val="Condition 1"/>
      <sheetName val="Calc Cover"/>
      <sheetName val="Data"/>
      <sheetName val="OLDFreeboards"/>
      <sheetName val="JUNK Deductions"/>
    </sheetNames>
    <sheetDataSet>
      <sheetData sheetId="0">
        <row r="2">
          <cell r="A2" t="str">
            <v>Oscar Dyson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5">
          <cell r="F55">
            <v>247.55999999999995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17"/>
  <sheetViews>
    <sheetView workbookViewId="0">
      <selection activeCell="J5" sqref="J5"/>
    </sheetView>
  </sheetViews>
  <sheetFormatPr defaultRowHeight="12.75"/>
  <cols>
    <col min="2" max="2" width="15.5" customWidth="1"/>
    <col min="3" max="6" width="10.83203125" customWidth="1"/>
    <col min="7" max="8" width="12.83203125" customWidth="1"/>
  </cols>
  <sheetData>
    <row r="3" spans="2:14" ht="13.5" customHeight="1">
      <c r="B3" s="9" t="s">
        <v>40</v>
      </c>
      <c r="C3" s="9" t="s">
        <v>41</v>
      </c>
      <c r="D3" s="9" t="s">
        <v>42</v>
      </c>
      <c r="E3" s="9" t="s">
        <v>43</v>
      </c>
      <c r="F3" s="9" t="s">
        <v>16</v>
      </c>
      <c r="J3" t="s">
        <v>499</v>
      </c>
      <c r="K3">
        <v>2790.91</v>
      </c>
      <c r="L3">
        <v>115.04</v>
      </c>
      <c r="M3">
        <v>-0.33</v>
      </c>
      <c r="N3">
        <v>24.08</v>
      </c>
    </row>
    <row r="4" spans="2:14" ht="13.5" customHeight="1">
      <c r="B4" s="10"/>
      <c r="C4" s="11" t="s">
        <v>195</v>
      </c>
      <c r="D4" s="11" t="s">
        <v>196</v>
      </c>
      <c r="E4" s="11" t="s">
        <v>197</v>
      </c>
      <c r="F4" s="11" t="s">
        <v>198</v>
      </c>
      <c r="J4" t="s">
        <v>193</v>
      </c>
      <c r="K4">
        <v>35.119999999999997</v>
      </c>
      <c r="L4">
        <v>125</v>
      </c>
      <c r="M4">
        <v>0</v>
      </c>
      <c r="N4">
        <v>1.93</v>
      </c>
    </row>
    <row r="5" spans="2:14" ht="20.25" customHeight="1">
      <c r="B5" s="257" t="s">
        <v>504</v>
      </c>
      <c r="C5" s="140">
        <v>35.119999999999997</v>
      </c>
      <c r="D5" s="140">
        <v>125</v>
      </c>
      <c r="E5" s="140">
        <v>0</v>
      </c>
      <c r="F5" s="140">
        <v>1.93</v>
      </c>
      <c r="K5">
        <f>SUM(K3:K4)</f>
        <v>2826.0299999999997</v>
      </c>
      <c r="L5">
        <f>SUMPRODUCT($K$3:$K$4,L3:L4)/$K$5</f>
        <v>115.16377618071995</v>
      </c>
      <c r="M5">
        <f>SUMPRODUCT($K$3:$K$4,M3:M4)/$K$5</f>
        <v>-0.32589898196409811</v>
      </c>
      <c r="N5">
        <f t="shared" ref="N5" si="0">SUMPRODUCT($K$3:$K$4,N3:N4)/$K$5</f>
        <v>23.804734698499306</v>
      </c>
    </row>
    <row r="17" ht="12.75" customHeight="1"/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3:H13"/>
  <sheetViews>
    <sheetView workbookViewId="0">
      <selection activeCell="G13" sqref="G13"/>
    </sheetView>
  </sheetViews>
  <sheetFormatPr defaultRowHeight="12.75"/>
  <cols>
    <col min="2" max="2" width="17" bestFit="1" customWidth="1"/>
    <col min="4" max="4" width="11.6640625" customWidth="1"/>
    <col min="6" max="6" width="22" bestFit="1" customWidth="1"/>
    <col min="7" max="7" width="11.6640625" customWidth="1"/>
    <col min="8" max="8" width="73" bestFit="1" customWidth="1"/>
  </cols>
  <sheetData>
    <row r="3" spans="2:8" ht="14.1" customHeight="1">
      <c r="B3" s="619" t="s">
        <v>75</v>
      </c>
      <c r="C3" s="619" t="s">
        <v>53</v>
      </c>
      <c r="D3" s="209" t="s">
        <v>190</v>
      </c>
      <c r="F3" s="621" t="s">
        <v>76</v>
      </c>
      <c r="G3" s="13" t="s">
        <v>81</v>
      </c>
      <c r="H3" s="619" t="s">
        <v>80</v>
      </c>
    </row>
    <row r="4" spans="2:8" ht="14.1" customHeight="1">
      <c r="B4" s="620"/>
      <c r="C4" s="620"/>
      <c r="D4" s="18" t="s">
        <v>324</v>
      </c>
      <c r="F4" s="622"/>
      <c r="G4" s="18" t="s">
        <v>266</v>
      </c>
      <c r="H4" s="620"/>
    </row>
    <row r="5" spans="2:8" ht="14.1" customHeight="1">
      <c r="B5" s="289" t="s">
        <v>72</v>
      </c>
      <c r="C5" s="291">
        <v>1.0249999999999999</v>
      </c>
      <c r="D5" s="292">
        <f>D7/C5</f>
        <v>261.86439024390245</v>
      </c>
      <c r="F5" s="141" t="s">
        <v>72</v>
      </c>
      <c r="G5" s="142">
        <v>903</v>
      </c>
      <c r="H5" s="295" t="s">
        <v>576</v>
      </c>
    </row>
    <row r="6" spans="2:8" ht="14.1" customHeight="1">
      <c r="B6" s="14" t="s">
        <v>45</v>
      </c>
      <c r="C6" s="15">
        <v>0.87</v>
      </c>
      <c r="D6" s="212">
        <f>D7/C6</f>
        <v>308.51839080459769</v>
      </c>
      <c r="F6" s="17" t="s">
        <v>77</v>
      </c>
      <c r="G6" s="12">
        <v>288</v>
      </c>
      <c r="H6" s="19" t="s">
        <v>326</v>
      </c>
    </row>
    <row r="7" spans="2:8" ht="14.1" customHeight="1">
      <c r="B7" s="14" t="s">
        <v>23</v>
      </c>
      <c r="C7" s="15">
        <v>1</v>
      </c>
      <c r="D7" s="212">
        <v>268.411</v>
      </c>
      <c r="F7" s="17" t="s">
        <v>78</v>
      </c>
      <c r="G7" s="12">
        <v>6.2</v>
      </c>
      <c r="H7" s="19" t="s">
        <v>176</v>
      </c>
    </row>
    <row r="8" spans="2:8" ht="14.1" customHeight="1">
      <c r="B8" s="14" t="s">
        <v>73</v>
      </c>
      <c r="C8" s="15">
        <v>0.92400000000000004</v>
      </c>
      <c r="D8" s="212">
        <f>D7/C8</f>
        <v>290.48809523809524</v>
      </c>
      <c r="F8" s="17" t="s">
        <v>23</v>
      </c>
      <c r="G8" s="12">
        <v>56.2</v>
      </c>
      <c r="H8" s="17" t="s">
        <v>79</v>
      </c>
    </row>
    <row r="9" spans="2:8" ht="14.1" customHeight="1">
      <c r="B9" s="287" t="s">
        <v>257</v>
      </c>
      <c r="C9" s="15">
        <v>0.92400000000000004</v>
      </c>
      <c r="D9" s="212">
        <f>D7/C9</f>
        <v>290.48809523809524</v>
      </c>
      <c r="F9" s="17" t="s">
        <v>22</v>
      </c>
      <c r="G9" s="12">
        <v>1.6</v>
      </c>
      <c r="H9" s="19" t="s">
        <v>327</v>
      </c>
    </row>
    <row r="10" spans="2:8" ht="14.1" customHeight="1">
      <c r="B10" s="14" t="s">
        <v>74</v>
      </c>
      <c r="C10" s="15">
        <v>1.0249999999999999</v>
      </c>
      <c r="D10" s="212">
        <f>D7/C10</f>
        <v>261.86439024390245</v>
      </c>
      <c r="F10" s="17" t="s">
        <v>48</v>
      </c>
      <c r="G10" s="12">
        <v>24.3</v>
      </c>
      <c r="H10" s="19" t="s">
        <v>328</v>
      </c>
    </row>
    <row r="11" spans="2:8" ht="14.1" customHeight="1">
      <c r="B11" s="288" t="s">
        <v>261</v>
      </c>
      <c r="C11" s="15">
        <v>1.0149999999999999</v>
      </c>
      <c r="D11" s="212">
        <f>D7/C11</f>
        <v>264.44433497536949</v>
      </c>
      <c r="F11" s="19" t="s">
        <v>88</v>
      </c>
      <c r="G11" s="12">
        <v>3304.4</v>
      </c>
      <c r="H11" s="19" t="s">
        <v>594</v>
      </c>
    </row>
    <row r="12" spans="2:8" ht="14.1" customHeight="1">
      <c r="B12" s="290" t="s">
        <v>325</v>
      </c>
      <c r="C12" s="16">
        <v>1</v>
      </c>
      <c r="D12" s="213">
        <f>D7/C12</f>
        <v>268.411</v>
      </c>
      <c r="F12" s="19" t="s">
        <v>330</v>
      </c>
      <c r="G12" s="12">
        <v>0.6</v>
      </c>
      <c r="H12" s="19" t="s">
        <v>272</v>
      </c>
    </row>
    <row r="13" spans="2:8" ht="14.1" customHeight="1">
      <c r="F13" s="296" t="s">
        <v>329</v>
      </c>
      <c r="G13" s="294">
        <f>SUM(G5:G12)</f>
        <v>4584.3</v>
      </c>
      <c r="H13" s="293"/>
    </row>
  </sheetData>
  <mergeCells count="4">
    <mergeCell ref="B3:B4"/>
    <mergeCell ref="C3:C4"/>
    <mergeCell ref="F3:F4"/>
    <mergeCell ref="H3:H4"/>
  </mergeCells>
  <phoneticPr fontId="1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E59"/>
  <sheetViews>
    <sheetView zoomScaleNormal="100" workbookViewId="0">
      <selection activeCell="D49" sqref="D49"/>
    </sheetView>
  </sheetViews>
  <sheetFormatPr defaultRowHeight="12.75"/>
  <sheetData>
    <row r="2" spans="2:5">
      <c r="B2" t="s">
        <v>11</v>
      </c>
      <c r="C2">
        <v>52</v>
      </c>
      <c r="D2" t="s">
        <v>262</v>
      </c>
    </row>
    <row r="3" spans="2:5">
      <c r="B3" t="s">
        <v>12</v>
      </c>
      <c r="C3" s="160">
        <v>0.44</v>
      </c>
      <c r="E3" s="208" t="s">
        <v>263</v>
      </c>
    </row>
    <row r="5" spans="2:5">
      <c r="B5" s="32" t="s">
        <v>179</v>
      </c>
    </row>
    <row r="7" spans="2:5">
      <c r="B7" s="2" t="s">
        <v>10</v>
      </c>
      <c r="C7" s="2" t="s">
        <v>9</v>
      </c>
    </row>
    <row r="8" spans="2:5">
      <c r="B8" s="256" t="s">
        <v>262</v>
      </c>
      <c r="C8" s="2" t="s">
        <v>13</v>
      </c>
    </row>
    <row r="9" spans="2:5">
      <c r="B9" s="1">
        <v>1</v>
      </c>
      <c r="C9" s="1">
        <f>$C$3*$C$2/SQRT(B9)</f>
        <v>22.88</v>
      </c>
    </row>
    <row r="10" spans="2:5">
      <c r="B10" s="1">
        <v>1.25</v>
      </c>
      <c r="C10" s="1">
        <f t="shared" ref="C10:C53" si="0">$C$3*$C$2/SQRT(B10)</f>
        <v>20.464494130078073</v>
      </c>
    </row>
    <row r="11" spans="2:5">
      <c r="B11" s="1">
        <v>1.5</v>
      </c>
      <c r="C11" s="1">
        <f t="shared" si="0"/>
        <v>18.681441771626371</v>
      </c>
    </row>
    <row r="12" spans="2:5">
      <c r="B12" s="1">
        <v>1.75</v>
      </c>
      <c r="C12" s="1">
        <f t="shared" si="0"/>
        <v>17.295654284902238</v>
      </c>
    </row>
    <row r="13" spans="2:5">
      <c r="B13" s="1">
        <v>2</v>
      </c>
      <c r="C13" s="1">
        <f t="shared" si="0"/>
        <v>16.178603153548206</v>
      </c>
    </row>
    <row r="14" spans="2:5">
      <c r="B14" s="1">
        <v>2.25</v>
      </c>
      <c r="C14" s="1">
        <f t="shared" si="0"/>
        <v>15.253333333333332</v>
      </c>
    </row>
    <row r="15" spans="2:5">
      <c r="B15" s="1">
        <v>2.5</v>
      </c>
      <c r="C15" s="1">
        <f t="shared" si="0"/>
        <v>14.470582572930502</v>
      </c>
    </row>
    <row r="16" spans="2:5">
      <c r="B16" s="1">
        <v>2.75</v>
      </c>
      <c r="C16" s="1">
        <f t="shared" si="0"/>
        <v>13.797159127878462</v>
      </c>
    </row>
    <row r="17" spans="2:3">
      <c r="B17" s="1">
        <v>3</v>
      </c>
      <c r="C17" s="1">
        <f t="shared" si="0"/>
        <v>13.209774159058638</v>
      </c>
    </row>
    <row r="18" spans="2:3">
      <c r="B18" s="1">
        <v>3.25</v>
      </c>
      <c r="C18" s="1">
        <f t="shared" si="0"/>
        <v>12.691540489633242</v>
      </c>
    </row>
    <row r="19" spans="2:3">
      <c r="B19" s="1">
        <v>3.5</v>
      </c>
      <c r="C19" s="1">
        <f t="shared" si="0"/>
        <v>12.22987442991254</v>
      </c>
    </row>
    <row r="20" spans="2:3">
      <c r="B20" s="1">
        <v>3.75</v>
      </c>
      <c r="C20" s="1">
        <f t="shared" si="0"/>
        <v>11.815181194830092</v>
      </c>
    </row>
    <row r="21" spans="2:3">
      <c r="B21" s="1">
        <v>4</v>
      </c>
      <c r="C21" s="1">
        <f t="shared" si="0"/>
        <v>11.44</v>
      </c>
    </row>
    <row r="22" spans="2:3">
      <c r="B22" s="1">
        <v>4.25</v>
      </c>
      <c r="C22" s="1">
        <f t="shared" si="0"/>
        <v>11.098430201662596</v>
      </c>
    </row>
    <row r="23" spans="2:3">
      <c r="B23" s="1">
        <v>4.5</v>
      </c>
      <c r="C23" s="1">
        <f t="shared" si="0"/>
        <v>10.785735435698806</v>
      </c>
    </row>
    <row r="24" spans="2:3">
      <c r="B24" s="1">
        <v>4.75</v>
      </c>
      <c r="C24" s="1">
        <f t="shared" si="0"/>
        <v>10.498063981916905</v>
      </c>
    </row>
    <row r="25" spans="2:3">
      <c r="B25" s="1">
        <v>5</v>
      </c>
      <c r="C25" s="1">
        <f t="shared" si="0"/>
        <v>10.232247065039036</v>
      </c>
    </row>
    <row r="26" spans="2:3">
      <c r="B26" s="1">
        <v>5.25</v>
      </c>
      <c r="C26" s="1">
        <f t="shared" si="0"/>
        <v>9.9856506571990113</v>
      </c>
    </row>
    <row r="27" spans="2:3">
      <c r="B27" s="1">
        <v>5.5</v>
      </c>
      <c r="C27" s="1">
        <f t="shared" si="0"/>
        <v>9.7560647804327321</v>
      </c>
    </row>
    <row r="28" spans="2:3">
      <c r="B28" s="1">
        <v>5.75</v>
      </c>
      <c r="C28" s="1">
        <f t="shared" si="0"/>
        <v>9.5416195872517413</v>
      </c>
    </row>
    <row r="29" spans="2:3">
      <c r="B29" s="1">
        <v>6</v>
      </c>
      <c r="C29" s="1">
        <f t="shared" si="0"/>
        <v>9.3407208858131856</v>
      </c>
    </row>
    <row r="30" spans="2:3">
      <c r="B30" s="1">
        <v>6.25</v>
      </c>
      <c r="C30" s="1">
        <f t="shared" si="0"/>
        <v>9.1519999999999992</v>
      </c>
    </row>
    <row r="31" spans="2:3">
      <c r="B31" s="1">
        <v>6.5</v>
      </c>
      <c r="C31" s="1">
        <f t="shared" si="0"/>
        <v>8.9742743439233017</v>
      </c>
    </row>
    <row r="32" spans="2:3">
      <c r="B32" s="1">
        <v>6.75</v>
      </c>
      <c r="C32" s="1">
        <f t="shared" si="0"/>
        <v>8.8065161060390906</v>
      </c>
    </row>
    <row r="33" spans="2:3">
      <c r="B33" s="1">
        <v>7</v>
      </c>
      <c r="C33" s="1">
        <f t="shared" si="0"/>
        <v>8.6478271424511188</v>
      </c>
    </row>
    <row r="34" spans="2:3">
      <c r="B34" s="1">
        <v>7.25</v>
      </c>
      <c r="C34" s="1">
        <f t="shared" si="0"/>
        <v>8.4974186749818941</v>
      </c>
    </row>
    <row r="35" spans="2:3">
      <c r="B35" s="1">
        <v>7.5</v>
      </c>
      <c r="C35" s="1">
        <f t="shared" si="0"/>
        <v>8.3545947438121342</v>
      </c>
    </row>
    <row r="36" spans="2:3">
      <c r="B36" s="1">
        <v>7.75</v>
      </c>
      <c r="C36" s="1">
        <f t="shared" si="0"/>
        <v>8.2187386207452189</v>
      </c>
    </row>
    <row r="37" spans="2:3">
      <c r="B37" s="1">
        <v>8</v>
      </c>
      <c r="C37" s="1">
        <f t="shared" si="0"/>
        <v>8.089301576774103</v>
      </c>
    </row>
    <row r="38" spans="2:3">
      <c r="B38" s="1">
        <v>8.25</v>
      </c>
      <c r="C38" s="1">
        <f t="shared" si="0"/>
        <v>7.9657935365327326</v>
      </c>
    </row>
    <row r="39" spans="2:3">
      <c r="B39" s="1">
        <v>8.5</v>
      </c>
      <c r="C39" s="1">
        <f t="shared" si="0"/>
        <v>7.8477752561212037</v>
      </c>
    </row>
    <row r="40" spans="2:3">
      <c r="B40" s="1">
        <v>8.75</v>
      </c>
      <c r="C40" s="1">
        <f t="shared" si="0"/>
        <v>7.7348517392753831</v>
      </c>
    </row>
    <row r="41" spans="2:3">
      <c r="B41" s="1">
        <v>9</v>
      </c>
      <c r="C41" s="1">
        <f t="shared" si="0"/>
        <v>7.626666666666666</v>
      </c>
    </row>
    <row r="42" spans="2:3">
      <c r="B42" s="1">
        <v>9.25</v>
      </c>
      <c r="C42" s="1">
        <f t="shared" si="0"/>
        <v>7.5228976590931493</v>
      </c>
    </row>
    <row r="43" spans="2:3">
      <c r="B43" s="1">
        <v>9.5</v>
      </c>
      <c r="C43" s="1">
        <f t="shared" si="0"/>
        <v>7.4232522309436941</v>
      </c>
    </row>
    <row r="44" spans="2:3">
      <c r="B44" s="1">
        <v>9.75</v>
      </c>
      <c r="C44" s="1">
        <f t="shared" si="0"/>
        <v>7.3274643181207866</v>
      </c>
    </row>
    <row r="45" spans="2:3">
      <c r="B45" s="1">
        <v>10</v>
      </c>
      <c r="C45" s="1">
        <f t="shared" si="0"/>
        <v>7.2352912864652508</v>
      </c>
    </row>
    <row r="46" spans="2:3">
      <c r="B46" s="1">
        <v>10.25</v>
      </c>
      <c r="C46" s="1">
        <f t="shared" si="0"/>
        <v>7.1465113440226133</v>
      </c>
    </row>
    <row r="47" spans="2:3">
      <c r="B47" s="1">
        <v>10.5</v>
      </c>
      <c r="C47" s="1">
        <f t="shared" si="0"/>
        <v>7.0609212942653254</v>
      </c>
    </row>
    <row r="48" spans="2:3">
      <c r="B48" s="1">
        <v>10.75</v>
      </c>
      <c r="C48" s="1">
        <f t="shared" si="0"/>
        <v>6.9783345784199895</v>
      </c>
    </row>
    <row r="49" spans="2:3">
      <c r="B49" s="1">
        <v>11</v>
      </c>
      <c r="C49" s="1">
        <f t="shared" si="0"/>
        <v>6.8985795639392311</v>
      </c>
    </row>
    <row r="50" spans="2:3">
      <c r="B50" s="1">
        <v>11.25</v>
      </c>
      <c r="C50" s="1">
        <f t="shared" si="0"/>
        <v>6.8214980433593579</v>
      </c>
    </row>
    <row r="51" spans="2:3">
      <c r="B51" s="1">
        <v>11.5</v>
      </c>
      <c r="C51" s="1">
        <f t="shared" si="0"/>
        <v>6.7469439136480922</v>
      </c>
    </row>
    <row r="52" spans="2:3">
      <c r="B52" s="1">
        <v>11.75</v>
      </c>
      <c r="C52" s="1">
        <f t="shared" si="0"/>
        <v>6.6747820109436544</v>
      </c>
    </row>
    <row r="53" spans="2:3">
      <c r="B53" s="1">
        <v>12</v>
      </c>
      <c r="C53" s="1">
        <f t="shared" si="0"/>
        <v>6.6048870795293189</v>
      </c>
    </row>
    <row r="54" spans="2:3">
      <c r="C54" s="1"/>
    </row>
    <row r="55" spans="2:3">
      <c r="C55" s="1"/>
    </row>
    <row r="56" spans="2:3">
      <c r="C56" s="1"/>
    </row>
    <row r="57" spans="2:3">
      <c r="C57" s="1"/>
    </row>
    <row r="58" spans="2:3">
      <c r="C58" s="1"/>
    </row>
    <row r="59" spans="2:3">
      <c r="C59" s="1"/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F392"/>
  <sheetViews>
    <sheetView zoomScaleNormal="100" workbookViewId="0">
      <selection activeCell="N20" sqref="N20"/>
    </sheetView>
  </sheetViews>
  <sheetFormatPr defaultRowHeight="12.75"/>
  <cols>
    <col min="1" max="1" width="9.33203125" style="6"/>
    <col min="2" max="11" width="11.1640625" style="6" customWidth="1"/>
    <col min="12" max="14" width="9.33203125" style="6"/>
    <col min="15" max="15" width="12" style="6" bestFit="1" customWidth="1"/>
    <col min="16" max="16384" width="9.33203125" style="6"/>
  </cols>
  <sheetData>
    <row r="2" spans="2:32">
      <c r="Q2" s="614" t="s">
        <v>71</v>
      </c>
      <c r="R2" s="614" t="s">
        <v>2</v>
      </c>
      <c r="S2" s="614" t="s">
        <v>3</v>
      </c>
      <c r="T2" s="614" t="s">
        <v>591</v>
      </c>
      <c r="U2" s="614" t="s">
        <v>0</v>
      </c>
      <c r="V2" s="614" t="s">
        <v>333</v>
      </c>
      <c r="W2" s="614" t="s">
        <v>4</v>
      </c>
      <c r="X2" s="614" t="s">
        <v>5</v>
      </c>
      <c r="Y2" s="614" t="s">
        <v>70</v>
      </c>
    </row>
    <row r="3" spans="2:32" ht="20.100000000000001" customHeight="1">
      <c r="B3" s="623" t="s">
        <v>6</v>
      </c>
      <c r="C3" s="624"/>
      <c r="D3" s="624"/>
      <c r="E3" s="624"/>
      <c r="F3" s="624"/>
      <c r="G3" s="624"/>
      <c r="H3" s="624"/>
      <c r="I3" s="624"/>
      <c r="J3" s="624"/>
      <c r="K3" s="625"/>
      <c r="Q3" s="615"/>
      <c r="R3" s="615"/>
      <c r="S3" s="615"/>
      <c r="T3" s="615"/>
      <c r="U3" s="615"/>
      <c r="V3" s="615"/>
      <c r="W3" s="615"/>
      <c r="X3" s="615"/>
      <c r="Y3" s="615" t="s">
        <v>529</v>
      </c>
    </row>
    <row r="4" spans="2:32" ht="15" customHeight="1">
      <c r="B4" s="626" t="s">
        <v>7</v>
      </c>
      <c r="C4" s="627"/>
      <c r="D4" s="627"/>
      <c r="E4" s="627"/>
      <c r="F4" s="627"/>
      <c r="G4" s="627"/>
      <c r="H4" s="627"/>
      <c r="I4" s="627"/>
      <c r="J4" s="627"/>
      <c r="K4" s="628"/>
      <c r="Q4" s="18" t="s">
        <v>195</v>
      </c>
      <c r="R4" s="18" t="s">
        <v>196</v>
      </c>
      <c r="S4" s="18" t="s">
        <v>198</v>
      </c>
      <c r="T4" s="18" t="s">
        <v>331</v>
      </c>
      <c r="U4" s="18" t="s">
        <v>196</v>
      </c>
      <c r="V4" s="18" t="s">
        <v>332</v>
      </c>
      <c r="W4" s="18" t="s">
        <v>198</v>
      </c>
      <c r="X4" s="18" t="s">
        <v>198</v>
      </c>
      <c r="Y4" s="18" t="s">
        <v>322</v>
      </c>
    </row>
    <row r="5" spans="2:32">
      <c r="B5" s="316" t="s">
        <v>69</v>
      </c>
      <c r="C5" s="316" t="s">
        <v>71</v>
      </c>
      <c r="D5" s="316" t="s">
        <v>2</v>
      </c>
      <c r="E5" s="316" t="s">
        <v>3</v>
      </c>
      <c r="F5" s="609" t="s">
        <v>591</v>
      </c>
      <c r="G5" s="316" t="s">
        <v>0</v>
      </c>
      <c r="H5" s="316" t="s">
        <v>333</v>
      </c>
      <c r="I5" s="316" t="s">
        <v>4</v>
      </c>
      <c r="J5" s="316" t="s">
        <v>5</v>
      </c>
      <c r="K5" s="316" t="s">
        <v>70</v>
      </c>
      <c r="M5" s="383"/>
      <c r="N5" s="383"/>
      <c r="O5" s="384" t="s">
        <v>169</v>
      </c>
      <c r="P5" s="383">
        <f>B12-(B12-B11)*(C12-$Q$5)/(C12-C11)</f>
        <v>14.614842438933433</v>
      </c>
      <c r="Q5" s="383">
        <v>2683.23</v>
      </c>
      <c r="R5" s="383">
        <f t="shared" ref="R5:Y5" si="0">D12-(D12-D11)*($B$12-$P$5)/($B$12-$B$11)</f>
        <v>119.04632668282677</v>
      </c>
      <c r="S5" s="383">
        <f t="shared" si="0"/>
        <v>8.5489054633600592</v>
      </c>
      <c r="T5" s="383">
        <f t="shared" si="0"/>
        <v>22.298905463360061</v>
      </c>
      <c r="U5" s="383">
        <f t="shared" si="0"/>
        <v>124.76</v>
      </c>
      <c r="V5" s="383">
        <f t="shared" si="0"/>
        <v>312.385828827149</v>
      </c>
      <c r="W5" s="383">
        <f t="shared" si="0"/>
        <v>335.17383926906581</v>
      </c>
      <c r="X5" s="383">
        <f t="shared" si="0"/>
        <v>26.542578780533283</v>
      </c>
      <c r="Y5" s="383">
        <f t="shared" si="0"/>
        <v>0</v>
      </c>
    </row>
    <row r="6" spans="2:32">
      <c r="B6" s="327" t="s">
        <v>139</v>
      </c>
      <c r="C6" s="327"/>
      <c r="D6" s="327"/>
      <c r="E6" s="327"/>
      <c r="F6" s="327"/>
      <c r="G6" s="327"/>
      <c r="H6" s="327"/>
      <c r="I6" s="327"/>
      <c r="J6" s="327"/>
      <c r="K6" s="586" t="s">
        <v>529</v>
      </c>
      <c r="M6" s="384"/>
      <c r="N6" s="383"/>
      <c r="O6" s="383"/>
      <c r="P6" s="383"/>
      <c r="Q6" s="383"/>
      <c r="R6" s="383"/>
      <c r="S6" s="383"/>
      <c r="T6" s="383"/>
      <c r="U6" s="383"/>
      <c r="V6" s="6">
        <f>V5*12</f>
        <v>3748.629945925788</v>
      </c>
    </row>
    <row r="7" spans="2:32">
      <c r="B7" s="18" t="s">
        <v>322</v>
      </c>
      <c r="C7" s="18" t="s">
        <v>195</v>
      </c>
      <c r="D7" s="18" t="s">
        <v>196</v>
      </c>
      <c r="E7" s="18" t="s">
        <v>198</v>
      </c>
      <c r="F7" s="18" t="s">
        <v>331</v>
      </c>
      <c r="G7" s="18" t="s">
        <v>196</v>
      </c>
      <c r="H7" s="18" t="s">
        <v>332</v>
      </c>
      <c r="I7" s="18" t="s">
        <v>198</v>
      </c>
      <c r="J7" s="18" t="s">
        <v>198</v>
      </c>
      <c r="K7" s="18" t="s">
        <v>322</v>
      </c>
      <c r="M7" s="383"/>
      <c r="N7" s="383"/>
      <c r="O7" s="383"/>
      <c r="P7" s="383"/>
      <c r="Q7" s="383"/>
      <c r="R7" s="383"/>
      <c r="S7" s="383"/>
      <c r="T7" s="383"/>
      <c r="U7" s="383"/>
    </row>
    <row r="8" spans="2:32">
      <c r="B8" s="359">
        <v>14</v>
      </c>
      <c r="C8" s="360">
        <v>2520.16</v>
      </c>
      <c r="D8" s="610">
        <v>118.67</v>
      </c>
      <c r="E8" s="610">
        <v>8.18</v>
      </c>
      <c r="F8" s="610">
        <v>21.87</v>
      </c>
      <c r="G8" s="610">
        <v>124.49</v>
      </c>
      <c r="H8" s="610">
        <v>296.04000000000002</v>
      </c>
      <c r="I8" s="610">
        <v>338.2</v>
      </c>
      <c r="J8" s="610">
        <v>26.79</v>
      </c>
      <c r="K8" s="361"/>
      <c r="M8" s="383"/>
      <c r="N8" s="383"/>
      <c r="O8" s="383"/>
      <c r="P8" s="383"/>
      <c r="Q8" s="383"/>
      <c r="R8" s="383"/>
      <c r="S8" s="383"/>
      <c r="T8" s="383"/>
      <c r="U8" s="383"/>
    </row>
    <row r="9" spans="2:32">
      <c r="B9" s="359">
        <v>14.2</v>
      </c>
      <c r="C9" s="360">
        <v>2572.87</v>
      </c>
      <c r="D9" s="610">
        <v>118.79</v>
      </c>
      <c r="E9" s="610">
        <v>8.3000000000000007</v>
      </c>
      <c r="F9" s="610">
        <v>22.02</v>
      </c>
      <c r="G9" s="610">
        <v>124.62</v>
      </c>
      <c r="H9" s="610">
        <v>301.68</v>
      </c>
      <c r="I9" s="610">
        <v>337.6</v>
      </c>
      <c r="J9" s="610">
        <v>26.74</v>
      </c>
      <c r="K9" s="361"/>
      <c r="M9" s="383"/>
      <c r="N9" s="383"/>
      <c r="O9" s="383"/>
      <c r="P9" s="383"/>
      <c r="Q9" s="383"/>
      <c r="R9" s="383"/>
      <c r="S9" s="383"/>
      <c r="T9" s="383"/>
      <c r="U9" s="383"/>
    </row>
    <row r="10" spans="2:32">
      <c r="B10" s="359">
        <v>14.4</v>
      </c>
      <c r="C10" s="360">
        <v>2625.9</v>
      </c>
      <c r="D10" s="610">
        <v>118.91</v>
      </c>
      <c r="E10" s="610">
        <v>8.42</v>
      </c>
      <c r="F10" s="610">
        <v>22.17</v>
      </c>
      <c r="G10" s="610">
        <v>124.74</v>
      </c>
      <c r="H10" s="610">
        <v>307.25</v>
      </c>
      <c r="I10" s="610">
        <v>336.9</v>
      </c>
      <c r="J10" s="610">
        <v>26.65</v>
      </c>
      <c r="K10" s="361"/>
      <c r="M10" s="383"/>
      <c r="N10" s="383"/>
      <c r="O10" s="383"/>
      <c r="P10" s="383"/>
      <c r="Q10" s="383"/>
      <c r="R10" s="383"/>
      <c r="S10" s="383"/>
      <c r="T10" s="383"/>
      <c r="U10" s="383"/>
    </row>
    <row r="11" spans="2:32">
      <c r="B11" s="359">
        <v>14.6</v>
      </c>
      <c r="C11" s="360">
        <v>2679.25</v>
      </c>
      <c r="D11" s="610">
        <v>119.03</v>
      </c>
      <c r="E11" s="610">
        <v>8.5399999999999991</v>
      </c>
      <c r="F11" s="610">
        <v>22.29</v>
      </c>
      <c r="G11" s="610">
        <v>124.76</v>
      </c>
      <c r="H11" s="610">
        <v>312.04000000000002</v>
      </c>
      <c r="I11" s="610">
        <v>335.3</v>
      </c>
      <c r="J11" s="610">
        <v>26.55</v>
      </c>
      <c r="K11" s="361"/>
      <c r="M11" s="383"/>
      <c r="N11" s="383"/>
      <c r="O11" s="383"/>
      <c r="P11" s="383"/>
      <c r="Q11" s="383"/>
      <c r="R11" s="383"/>
      <c r="S11" s="383"/>
      <c r="T11" s="383"/>
      <c r="U11" s="383"/>
    </row>
    <row r="12" spans="2:32">
      <c r="B12" s="359">
        <v>14.8</v>
      </c>
      <c r="C12" s="360">
        <v>2732.88</v>
      </c>
      <c r="D12" s="610">
        <v>119.25</v>
      </c>
      <c r="E12" s="610">
        <v>8.66</v>
      </c>
      <c r="F12" s="610">
        <v>22.41</v>
      </c>
      <c r="G12" s="610">
        <v>124.76</v>
      </c>
      <c r="H12" s="610">
        <v>316.7</v>
      </c>
      <c r="I12" s="610">
        <v>333.6</v>
      </c>
      <c r="J12" s="610">
        <v>26.45</v>
      </c>
      <c r="K12" s="361"/>
      <c r="M12" s="383"/>
      <c r="N12" s="383"/>
      <c r="O12" s="383"/>
      <c r="P12" s="383"/>
      <c r="Q12" s="383"/>
      <c r="R12" s="383"/>
      <c r="S12" s="383"/>
      <c r="T12" s="383"/>
      <c r="U12" s="383"/>
    </row>
    <row r="13" spans="2:32">
      <c r="B13" s="359">
        <v>15</v>
      </c>
      <c r="C13" s="360">
        <v>2786.79</v>
      </c>
      <c r="D13" s="312">
        <v>119.25</v>
      </c>
      <c r="E13" s="361">
        <v>8.7799999999999994</v>
      </c>
      <c r="F13" s="361">
        <v>22.51</v>
      </c>
      <c r="G13" s="312">
        <v>124.69</v>
      </c>
      <c r="H13" s="361">
        <v>320.72000000000003</v>
      </c>
      <c r="I13" s="361">
        <v>331.3</v>
      </c>
      <c r="J13" s="361">
        <v>26.35</v>
      </c>
      <c r="K13" s="361">
        <f>W47</f>
        <v>23.812999999999999</v>
      </c>
      <c r="M13" s="8"/>
      <c r="N13" s="385"/>
      <c r="O13" s="8"/>
      <c r="P13" s="8"/>
      <c r="Q13" s="8"/>
      <c r="R13" s="8"/>
      <c r="S13" s="8"/>
      <c r="T13" s="8"/>
      <c r="U13" s="8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32">
      <c r="B14" s="359">
        <v>15.2</v>
      </c>
      <c r="C14" s="360">
        <v>2840.96</v>
      </c>
      <c r="D14" s="312">
        <v>119.35</v>
      </c>
      <c r="E14" s="361">
        <v>8.9</v>
      </c>
      <c r="F14" s="361">
        <v>22.63</v>
      </c>
      <c r="G14" s="312">
        <v>124.68</v>
      </c>
      <c r="H14" s="361">
        <v>325.36</v>
      </c>
      <c r="I14" s="361">
        <v>329.7</v>
      </c>
      <c r="J14" s="361">
        <v>26.25</v>
      </c>
      <c r="K14" s="361">
        <f t="shared" ref="K14:K38" si="1">W48</f>
        <v>23.774999999999999</v>
      </c>
      <c r="M14"/>
      <c r="N14" s="210"/>
      <c r="O14"/>
      <c r="P14"/>
      <c r="S14"/>
      <c r="V14"/>
      <c r="Z14" s="7"/>
      <c r="AA14" s="7"/>
      <c r="AB14" s="7"/>
      <c r="AC14" s="7"/>
      <c r="AD14" s="7"/>
      <c r="AE14" s="7"/>
      <c r="AF14" s="7"/>
    </row>
    <row r="15" spans="2:32">
      <c r="B15" s="359">
        <v>15.4</v>
      </c>
      <c r="C15" s="360">
        <v>2895.4</v>
      </c>
      <c r="D15" s="312">
        <v>119.45</v>
      </c>
      <c r="E15" s="361">
        <v>9.02</v>
      </c>
      <c r="F15" s="361">
        <v>22.74</v>
      </c>
      <c r="G15" s="312">
        <v>124.66</v>
      </c>
      <c r="H15" s="361">
        <v>329.91</v>
      </c>
      <c r="I15" s="361">
        <v>328</v>
      </c>
      <c r="J15" s="361">
        <v>26.16</v>
      </c>
      <c r="K15" s="361">
        <f t="shared" si="1"/>
        <v>23.736999999999998</v>
      </c>
      <c r="M15"/>
      <c r="N15" s="210"/>
      <c r="O15"/>
      <c r="P15"/>
      <c r="S15"/>
      <c r="V15"/>
      <c r="Z15" s="7"/>
      <c r="AA15" s="7"/>
      <c r="AB15" s="7"/>
      <c r="AC15" s="7"/>
      <c r="AD15" s="7"/>
      <c r="AE15" s="7"/>
      <c r="AF15" s="7"/>
    </row>
    <row r="16" spans="2:32">
      <c r="B16" s="359">
        <v>15.6</v>
      </c>
      <c r="C16" s="360">
        <v>2950.1</v>
      </c>
      <c r="D16" s="312">
        <v>119.55</v>
      </c>
      <c r="E16" s="361">
        <v>9.14</v>
      </c>
      <c r="F16" s="361">
        <v>22.83</v>
      </c>
      <c r="G16" s="312">
        <v>124.54</v>
      </c>
      <c r="H16" s="361">
        <v>333.58</v>
      </c>
      <c r="I16" s="361">
        <v>325.5</v>
      </c>
      <c r="J16" s="361">
        <v>26.06</v>
      </c>
      <c r="K16" s="361">
        <f t="shared" si="1"/>
        <v>23.695399999999999</v>
      </c>
      <c r="M16"/>
      <c r="N16" s="210"/>
      <c r="O16"/>
      <c r="P16"/>
      <c r="S16"/>
      <c r="V16"/>
      <c r="Z16" s="7"/>
      <c r="AA16" s="7"/>
      <c r="AB16" s="7"/>
      <c r="AC16" s="7"/>
      <c r="AD16" s="7"/>
      <c r="AE16" s="7"/>
      <c r="AF16" s="7"/>
    </row>
    <row r="17" spans="2:32">
      <c r="B17" s="359">
        <v>15.8</v>
      </c>
      <c r="C17" s="360">
        <v>3005.04</v>
      </c>
      <c r="D17" s="312">
        <v>119.64</v>
      </c>
      <c r="E17" s="361">
        <v>9.26</v>
      </c>
      <c r="F17" s="361">
        <v>22.95</v>
      </c>
      <c r="G17" s="312">
        <v>124.54</v>
      </c>
      <c r="H17" s="361">
        <v>338.4</v>
      </c>
      <c r="I17" s="361">
        <v>324.2</v>
      </c>
      <c r="J17" s="361">
        <v>25.98</v>
      </c>
      <c r="K17" s="361">
        <f t="shared" si="1"/>
        <v>23.650200000000002</v>
      </c>
      <c r="M17"/>
      <c r="N17" s="210"/>
      <c r="O17"/>
      <c r="P17"/>
      <c r="S17"/>
      <c r="V17"/>
      <c r="Z17" s="7"/>
      <c r="AA17" s="7"/>
      <c r="AB17" s="7"/>
      <c r="AC17" s="7"/>
      <c r="AD17" s="7"/>
      <c r="AE17" s="7"/>
      <c r="AF17" s="7"/>
    </row>
    <row r="18" spans="2:32">
      <c r="B18" s="359">
        <v>16</v>
      </c>
      <c r="C18" s="360">
        <v>3060.24</v>
      </c>
      <c r="D18" s="312">
        <v>119.73</v>
      </c>
      <c r="E18" s="361">
        <v>9.3800000000000008</v>
      </c>
      <c r="F18" s="361">
        <v>23.05</v>
      </c>
      <c r="G18" s="312">
        <v>124.49</v>
      </c>
      <c r="H18" s="361">
        <v>342.84</v>
      </c>
      <c r="I18" s="361">
        <v>322.5</v>
      </c>
      <c r="J18" s="361">
        <v>25.89</v>
      </c>
      <c r="K18" s="361">
        <f t="shared" si="1"/>
        <v>23.605</v>
      </c>
      <c r="M18"/>
      <c r="N18" s="210"/>
      <c r="O18"/>
      <c r="P18"/>
      <c r="S18"/>
      <c r="V18"/>
      <c r="Z18" s="7"/>
      <c r="AA18" s="7"/>
      <c r="AB18" s="7"/>
      <c r="AC18" s="7"/>
      <c r="AD18" s="7"/>
      <c r="AE18" s="7"/>
      <c r="AF18" s="7"/>
    </row>
    <row r="19" spans="2:32">
      <c r="B19" s="359">
        <v>16.2</v>
      </c>
      <c r="C19" s="360">
        <v>3115.69</v>
      </c>
      <c r="D19" s="312">
        <v>119.81</v>
      </c>
      <c r="E19" s="361">
        <v>9.5</v>
      </c>
      <c r="F19" s="361">
        <v>23.16</v>
      </c>
      <c r="G19" s="312">
        <v>124.45</v>
      </c>
      <c r="H19" s="361">
        <v>347.34</v>
      </c>
      <c r="I19" s="361">
        <v>321</v>
      </c>
      <c r="J19" s="361">
        <v>25.81</v>
      </c>
      <c r="K19" s="361">
        <f t="shared" si="1"/>
        <v>23.561800000000002</v>
      </c>
      <c r="M19"/>
      <c r="N19" s="210"/>
      <c r="O19"/>
      <c r="P19"/>
      <c r="S19"/>
      <c r="V19"/>
      <c r="Z19" s="7"/>
      <c r="AA19" s="7"/>
      <c r="AB19" s="7"/>
      <c r="AC19" s="7"/>
      <c r="AD19" s="7"/>
      <c r="AE19" s="7"/>
      <c r="AF19" s="7"/>
    </row>
    <row r="20" spans="2:32">
      <c r="B20" s="359">
        <v>16.399999999999999</v>
      </c>
      <c r="C20" s="360">
        <v>3171.38</v>
      </c>
      <c r="D20" s="312">
        <v>119.89</v>
      </c>
      <c r="E20" s="361">
        <v>9.6199999999999992</v>
      </c>
      <c r="F20" s="361">
        <v>23.25</v>
      </c>
      <c r="G20" s="312">
        <v>124.34</v>
      </c>
      <c r="H20" s="361">
        <v>351.25</v>
      </c>
      <c r="I20" s="361">
        <v>318.89999999999998</v>
      </c>
      <c r="J20" s="361">
        <v>25.73</v>
      </c>
      <c r="K20" s="361">
        <f t="shared" si="1"/>
        <v>23.518599999999999</v>
      </c>
      <c r="M20"/>
      <c r="N20" s="210"/>
      <c r="O20"/>
      <c r="P20"/>
      <c r="S20"/>
      <c r="V20"/>
      <c r="Z20" s="7"/>
      <c r="AA20" s="7"/>
      <c r="AB20" s="7"/>
      <c r="AC20" s="7"/>
      <c r="AD20" s="7"/>
      <c r="AE20" s="7"/>
      <c r="AF20" s="7"/>
    </row>
    <row r="21" spans="2:32">
      <c r="B21" s="359">
        <v>16.600000000000001</v>
      </c>
      <c r="C21" s="360">
        <v>3227.3</v>
      </c>
      <c r="D21" s="312">
        <v>119.97</v>
      </c>
      <c r="E21" s="361">
        <v>9.74</v>
      </c>
      <c r="F21" s="361">
        <v>23.36</v>
      </c>
      <c r="G21" s="312">
        <v>124.3</v>
      </c>
      <c r="H21" s="361">
        <v>355.83</v>
      </c>
      <c r="I21" s="361">
        <v>317.39999999999998</v>
      </c>
      <c r="J21" s="361">
        <v>25.65</v>
      </c>
      <c r="K21" s="361">
        <f t="shared" si="1"/>
        <v>23.478400000000001</v>
      </c>
      <c r="M21"/>
      <c r="N21" s="210"/>
      <c r="O21"/>
      <c r="P21"/>
      <c r="S21"/>
      <c r="V21"/>
      <c r="Z21" s="7"/>
      <c r="AA21" s="7"/>
      <c r="AB21" s="7"/>
      <c r="AC21" s="7"/>
      <c r="AD21" s="7"/>
      <c r="AE21" s="7"/>
      <c r="AF21" s="7"/>
    </row>
    <row r="22" spans="2:32">
      <c r="B22" s="359">
        <v>16.8</v>
      </c>
      <c r="C22" s="360">
        <v>3283.48</v>
      </c>
      <c r="D22" s="312">
        <v>120.04</v>
      </c>
      <c r="E22" s="361">
        <v>9.86</v>
      </c>
      <c r="F22" s="361">
        <v>23.46</v>
      </c>
      <c r="G22" s="312">
        <v>124.26</v>
      </c>
      <c r="H22" s="361">
        <v>360.43</v>
      </c>
      <c r="I22" s="361">
        <v>316</v>
      </c>
      <c r="J22" s="361">
        <v>25.59</v>
      </c>
      <c r="K22" s="361">
        <f t="shared" si="1"/>
        <v>23.441199999999998</v>
      </c>
      <c r="M22"/>
      <c r="N22" s="210"/>
      <c r="O22"/>
      <c r="P22"/>
      <c r="S22"/>
      <c r="V22"/>
      <c r="Z22" s="7"/>
      <c r="AA22" s="7"/>
      <c r="AB22" s="7"/>
      <c r="AC22" s="7"/>
      <c r="AD22" s="7"/>
      <c r="AE22" s="7"/>
      <c r="AF22" s="7"/>
    </row>
    <row r="23" spans="2:32">
      <c r="B23" s="359">
        <v>17</v>
      </c>
      <c r="C23" s="360">
        <v>3339.91</v>
      </c>
      <c r="D23" s="312">
        <v>120.11</v>
      </c>
      <c r="E23" s="361">
        <v>9.98</v>
      </c>
      <c r="F23" s="361">
        <v>23.55</v>
      </c>
      <c r="G23" s="312">
        <v>124.14</v>
      </c>
      <c r="H23" s="361">
        <v>364.3</v>
      </c>
      <c r="I23" s="361">
        <v>314</v>
      </c>
      <c r="J23" s="361">
        <v>25.52</v>
      </c>
      <c r="K23" s="361">
        <f t="shared" si="1"/>
        <v>23.404</v>
      </c>
      <c r="M23"/>
      <c r="N23" s="210"/>
      <c r="O23"/>
      <c r="P23"/>
      <c r="S23"/>
      <c r="V23"/>
      <c r="Z23" s="7"/>
      <c r="AA23" s="7"/>
      <c r="AB23" s="7"/>
      <c r="AC23" s="7"/>
      <c r="AD23" s="7"/>
      <c r="AE23" s="7"/>
      <c r="AF23" s="7"/>
    </row>
    <row r="24" spans="2:32">
      <c r="B24" s="359">
        <v>17.2</v>
      </c>
      <c r="C24" s="360">
        <v>3396.56</v>
      </c>
      <c r="D24" s="312">
        <v>120.18</v>
      </c>
      <c r="E24" s="361">
        <v>10.1</v>
      </c>
      <c r="F24" s="361">
        <v>23.66</v>
      </c>
      <c r="G24" s="312">
        <v>124.11</v>
      </c>
      <c r="H24" s="361">
        <v>369.09</v>
      </c>
      <c r="I24" s="361">
        <v>312.89999999999998</v>
      </c>
      <c r="J24" s="361">
        <v>25.47</v>
      </c>
      <c r="K24" s="361">
        <f t="shared" si="1"/>
        <v>23.372399999999999</v>
      </c>
      <c r="M24"/>
      <c r="N24" s="210"/>
      <c r="O24"/>
      <c r="P24"/>
      <c r="S24"/>
      <c r="V24"/>
      <c r="Z24" s="7"/>
      <c r="AA24" s="7"/>
      <c r="AB24" s="7"/>
      <c r="AC24" s="7"/>
      <c r="AD24" s="7"/>
      <c r="AE24" s="7"/>
      <c r="AF24" s="7"/>
    </row>
    <row r="25" spans="2:32">
      <c r="B25" s="359">
        <v>17.399999999999999</v>
      </c>
      <c r="C25" s="360">
        <v>3453.47</v>
      </c>
      <c r="D25" s="312">
        <v>120.24</v>
      </c>
      <c r="E25" s="361">
        <v>10.220000000000001</v>
      </c>
      <c r="F25" s="361">
        <v>23.76</v>
      </c>
      <c r="G25" s="312">
        <v>124.07</v>
      </c>
      <c r="H25" s="361">
        <v>373.82</v>
      </c>
      <c r="I25" s="361">
        <v>311.60000000000002</v>
      </c>
      <c r="J25" s="361">
        <v>25.42</v>
      </c>
      <c r="K25" s="361">
        <f t="shared" si="1"/>
        <v>23.340799999999998</v>
      </c>
      <c r="M25"/>
      <c r="N25" s="210"/>
      <c r="O25"/>
      <c r="P25">
        <f>0.61484*12</f>
        <v>7.3780800000000006</v>
      </c>
      <c r="S25"/>
      <c r="V25"/>
      <c r="Z25" s="7"/>
      <c r="AA25" s="7"/>
      <c r="AB25" s="7"/>
      <c r="AC25" s="7"/>
      <c r="AD25" s="7"/>
      <c r="AE25" s="7"/>
      <c r="AF25" s="7"/>
    </row>
    <row r="26" spans="2:32">
      <c r="B26" s="359">
        <v>17.600000000000001</v>
      </c>
      <c r="C26" s="360">
        <v>3510.63</v>
      </c>
      <c r="D26" s="312">
        <v>120.31</v>
      </c>
      <c r="E26" s="361">
        <v>10.33</v>
      </c>
      <c r="F26" s="361">
        <v>23.87</v>
      </c>
      <c r="G26" s="312">
        <v>124.03</v>
      </c>
      <c r="H26" s="361">
        <v>378.49</v>
      </c>
      <c r="I26" s="361">
        <v>310.39999999999998</v>
      </c>
      <c r="J26" s="361">
        <v>25.37</v>
      </c>
      <c r="K26" s="361">
        <f t="shared" si="1"/>
        <v>23.311399999999999</v>
      </c>
      <c r="M26"/>
      <c r="N26" s="210"/>
      <c r="O26"/>
      <c r="P26"/>
      <c r="S26"/>
      <c r="V26"/>
      <c r="Z26" s="7"/>
      <c r="AA26" s="7"/>
      <c r="AB26" s="7"/>
      <c r="AC26" s="7"/>
      <c r="AD26" s="7"/>
      <c r="AE26" s="7"/>
      <c r="AF26" s="7"/>
    </row>
    <row r="27" spans="2:32">
      <c r="B27" s="359">
        <v>17.8</v>
      </c>
      <c r="C27" s="360">
        <v>3568.01</v>
      </c>
      <c r="D27" s="312">
        <v>120.37</v>
      </c>
      <c r="E27" s="361">
        <v>10.45</v>
      </c>
      <c r="F27" s="361">
        <v>23.96</v>
      </c>
      <c r="G27" s="312">
        <v>123.93</v>
      </c>
      <c r="H27" s="361">
        <v>382.59</v>
      </c>
      <c r="I27" s="361">
        <v>308.7</v>
      </c>
      <c r="J27" s="361">
        <v>25.32</v>
      </c>
      <c r="K27" s="361">
        <f t="shared" si="1"/>
        <v>23.284200000000002</v>
      </c>
      <c r="M27"/>
      <c r="N27" s="210"/>
      <c r="O27"/>
      <c r="P27"/>
      <c r="S27"/>
      <c r="V27"/>
      <c r="Z27" s="7"/>
      <c r="AA27" s="7"/>
      <c r="AB27" s="7"/>
      <c r="AC27" s="7"/>
      <c r="AD27" s="7"/>
      <c r="AE27" s="7"/>
      <c r="AF27" s="7"/>
    </row>
    <row r="28" spans="2:32">
      <c r="B28" s="359">
        <v>18</v>
      </c>
      <c r="C28" s="360">
        <v>3625.64</v>
      </c>
      <c r="D28" s="312">
        <v>120.42</v>
      </c>
      <c r="E28" s="361">
        <v>10.57</v>
      </c>
      <c r="F28" s="361">
        <v>24.06</v>
      </c>
      <c r="G28" s="312">
        <v>123.9</v>
      </c>
      <c r="H28" s="361">
        <v>387.39</v>
      </c>
      <c r="I28" s="361">
        <v>307.60000000000002</v>
      </c>
      <c r="J28" s="361">
        <v>25.28</v>
      </c>
      <c r="K28" s="361">
        <f t="shared" si="1"/>
        <v>23.257000000000001</v>
      </c>
      <c r="M28"/>
      <c r="N28" s="210"/>
      <c r="O28"/>
      <c r="P28"/>
      <c r="S28"/>
      <c r="V28"/>
      <c r="Z28" s="7"/>
      <c r="AA28" s="7"/>
      <c r="AB28" s="7"/>
      <c r="AC28" s="7"/>
      <c r="AD28" s="7"/>
      <c r="AE28" s="7"/>
      <c r="AF28" s="7"/>
    </row>
    <row r="29" spans="2:32">
      <c r="B29" s="359">
        <v>18.2</v>
      </c>
      <c r="C29" s="360">
        <v>3683.51</v>
      </c>
      <c r="D29" s="312">
        <v>120.48</v>
      </c>
      <c r="E29" s="361">
        <v>10.69</v>
      </c>
      <c r="F29" s="361">
        <v>24.16</v>
      </c>
      <c r="G29" s="312">
        <v>123.84</v>
      </c>
      <c r="H29" s="361">
        <v>391.92</v>
      </c>
      <c r="I29" s="361">
        <v>306.3</v>
      </c>
      <c r="J29" s="361">
        <v>25.24</v>
      </c>
      <c r="K29" s="361">
        <f t="shared" si="1"/>
        <v>23.2334</v>
      </c>
      <c r="M29"/>
      <c r="N29" s="210"/>
      <c r="O29"/>
      <c r="P29"/>
      <c r="S29"/>
      <c r="V29"/>
      <c r="Z29" s="7"/>
      <c r="AA29" s="7"/>
      <c r="AB29" s="7"/>
      <c r="AC29" s="7"/>
      <c r="AD29" s="7"/>
      <c r="AE29" s="7"/>
      <c r="AF29" s="7"/>
    </row>
    <row r="30" spans="2:32">
      <c r="B30" s="359">
        <v>18.399999999999999</v>
      </c>
      <c r="C30" s="360">
        <v>3741.62</v>
      </c>
      <c r="D30" s="312">
        <v>120.53</v>
      </c>
      <c r="E30" s="361">
        <v>10.81</v>
      </c>
      <c r="F30" s="361">
        <v>24.26</v>
      </c>
      <c r="G30" s="312">
        <v>123.77</v>
      </c>
      <c r="H30" s="361">
        <v>396.46</v>
      </c>
      <c r="I30" s="361">
        <v>305.10000000000002</v>
      </c>
      <c r="J30" s="361">
        <v>25.21</v>
      </c>
      <c r="K30" s="361">
        <f t="shared" si="1"/>
        <v>23.209800000000001</v>
      </c>
      <c r="M30"/>
      <c r="N30" s="210"/>
      <c r="O30"/>
      <c r="P30"/>
      <c r="S30"/>
      <c r="V30"/>
      <c r="Z30" s="7"/>
      <c r="AA30" s="7"/>
      <c r="AB30" s="7"/>
      <c r="AC30" s="7"/>
      <c r="AD30" s="7"/>
      <c r="AE30" s="7"/>
      <c r="AF30" s="7"/>
    </row>
    <row r="31" spans="2:32">
      <c r="B31" s="359">
        <v>18.600000000000001</v>
      </c>
      <c r="C31" s="360">
        <v>3799.96</v>
      </c>
      <c r="D31" s="312">
        <v>120.58</v>
      </c>
      <c r="E31" s="361">
        <v>10.93</v>
      </c>
      <c r="F31" s="361">
        <v>24.36</v>
      </c>
      <c r="G31" s="312">
        <v>123.74</v>
      </c>
      <c r="H31" s="361">
        <v>401.29</v>
      </c>
      <c r="I31" s="361">
        <v>304</v>
      </c>
      <c r="J31" s="361">
        <v>25.18</v>
      </c>
      <c r="K31" s="361">
        <f t="shared" si="1"/>
        <v>23.189</v>
      </c>
      <c r="M31"/>
      <c r="N31" s="210"/>
      <c r="O31"/>
      <c r="P31"/>
      <c r="S31"/>
      <c r="V31"/>
      <c r="Z31" s="7"/>
      <c r="AA31" s="7"/>
      <c r="AB31" s="7"/>
      <c r="AC31" s="7"/>
      <c r="AD31" s="7"/>
      <c r="AE31" s="7"/>
      <c r="AF31" s="7"/>
    </row>
    <row r="32" spans="2:32">
      <c r="B32" s="359">
        <v>18.8</v>
      </c>
      <c r="C32" s="360">
        <v>3858.55</v>
      </c>
      <c r="D32" s="312">
        <v>120.62</v>
      </c>
      <c r="E32" s="361">
        <v>11.04</v>
      </c>
      <c r="F32" s="361">
        <v>24.46</v>
      </c>
      <c r="G32" s="312">
        <v>123.68</v>
      </c>
      <c r="H32" s="361">
        <v>405.87</v>
      </c>
      <c r="I32" s="361">
        <v>302.8</v>
      </c>
      <c r="J32" s="361">
        <v>25.15</v>
      </c>
      <c r="K32" s="361">
        <f t="shared" si="1"/>
        <v>23.170999999999999</v>
      </c>
      <c r="M32"/>
      <c r="N32" s="210"/>
      <c r="O32"/>
      <c r="P32"/>
      <c r="S32"/>
      <c r="V32"/>
      <c r="Z32" s="7"/>
      <c r="AA32" s="7"/>
      <c r="AB32" s="7"/>
      <c r="AC32" s="7"/>
      <c r="AD32" s="7"/>
      <c r="AE32" s="7"/>
      <c r="AF32" s="7"/>
    </row>
    <row r="33" spans="1:32">
      <c r="B33" s="359">
        <v>19</v>
      </c>
      <c r="C33" s="360">
        <v>3917.38</v>
      </c>
      <c r="D33" s="312">
        <v>120.67</v>
      </c>
      <c r="E33" s="361">
        <v>11.16</v>
      </c>
      <c r="F33" s="361">
        <v>24.58</v>
      </c>
      <c r="G33" s="312">
        <v>123.64</v>
      </c>
      <c r="H33" s="361">
        <v>410.79</v>
      </c>
      <c r="I33" s="361">
        <v>301.89999999999998</v>
      </c>
      <c r="J33" s="361">
        <v>25.15</v>
      </c>
      <c r="K33" s="361">
        <f t="shared" si="1"/>
        <v>23.152999999999999</v>
      </c>
      <c r="M33"/>
      <c r="N33" s="210"/>
      <c r="O33"/>
      <c r="P33"/>
      <c r="S33"/>
      <c r="V33"/>
      <c r="Z33" s="7"/>
      <c r="AA33" s="7"/>
      <c r="AB33" s="7"/>
      <c r="AC33" s="7"/>
      <c r="AD33" s="7"/>
      <c r="AE33" s="7"/>
      <c r="AF33" s="7"/>
    </row>
    <row r="34" spans="1:32">
      <c r="B34" s="359">
        <v>19.2</v>
      </c>
      <c r="C34" s="360">
        <v>3976.48</v>
      </c>
      <c r="D34" s="312">
        <v>120.71</v>
      </c>
      <c r="E34" s="361">
        <v>11.28</v>
      </c>
      <c r="F34" s="361">
        <v>24.67</v>
      </c>
      <c r="G34" s="312">
        <v>123.59</v>
      </c>
      <c r="H34" s="361">
        <v>415.49</v>
      </c>
      <c r="I34" s="361">
        <v>300.8</v>
      </c>
      <c r="J34" s="361">
        <v>25.13</v>
      </c>
      <c r="K34" s="361">
        <f t="shared" si="1"/>
        <v>23.076999999999998</v>
      </c>
      <c r="M34"/>
      <c r="N34" s="210"/>
      <c r="O34"/>
      <c r="P34"/>
      <c r="S34"/>
      <c r="V34"/>
      <c r="Z34" s="7"/>
      <c r="AA34" s="7"/>
      <c r="AB34" s="7"/>
      <c r="AC34" s="7"/>
      <c r="AD34" s="7"/>
      <c r="AE34" s="7"/>
      <c r="AF34" s="7"/>
    </row>
    <row r="35" spans="1:32">
      <c r="B35" s="359">
        <v>19.399999999999999</v>
      </c>
      <c r="C35" s="360">
        <v>4035.82</v>
      </c>
      <c r="D35" s="362">
        <v>120.76</v>
      </c>
      <c r="E35" s="361">
        <v>11.4</v>
      </c>
      <c r="F35" s="361">
        <v>24.77</v>
      </c>
      <c r="G35" s="362">
        <v>123.53</v>
      </c>
      <c r="H35" s="361">
        <v>420.13</v>
      </c>
      <c r="I35" s="361">
        <v>299.7</v>
      </c>
      <c r="J35" s="361">
        <v>25.11</v>
      </c>
      <c r="K35" s="361">
        <f t="shared" si="1"/>
        <v>23.001000000000001</v>
      </c>
      <c r="M35"/>
      <c r="N35" s="210"/>
      <c r="O35"/>
      <c r="P35"/>
      <c r="V35"/>
      <c r="Z35" s="7"/>
      <c r="AA35" s="7"/>
      <c r="AB35" s="7"/>
      <c r="AC35" s="7"/>
      <c r="AD35" s="7"/>
      <c r="AE35" s="7"/>
      <c r="AF35" s="7"/>
    </row>
    <row r="36" spans="1:32">
      <c r="B36" s="359">
        <v>19.600000000000001</v>
      </c>
      <c r="C36" s="360">
        <v>4095.38</v>
      </c>
      <c r="D36" s="362">
        <v>120.8</v>
      </c>
      <c r="E36" s="361">
        <v>11.52</v>
      </c>
      <c r="F36" s="361">
        <v>24.86</v>
      </c>
      <c r="G36" s="362">
        <v>123.47</v>
      </c>
      <c r="H36" s="361">
        <v>424.59</v>
      </c>
      <c r="I36" s="361">
        <v>298.5</v>
      </c>
      <c r="J36" s="361">
        <v>25.09</v>
      </c>
      <c r="K36" s="361">
        <f t="shared" si="1"/>
        <v>22.9116</v>
      </c>
      <c r="M36"/>
      <c r="N36" s="210"/>
      <c r="O36"/>
      <c r="P36"/>
      <c r="S36"/>
      <c r="V36"/>
      <c r="Z36" s="7"/>
      <c r="AA36" s="7"/>
      <c r="AB36" s="7"/>
      <c r="AC36" s="7"/>
      <c r="AD36" s="7"/>
      <c r="AE36" s="7"/>
      <c r="AF36" s="7"/>
    </row>
    <row r="37" spans="1:32">
      <c r="B37" s="359">
        <v>19.8</v>
      </c>
      <c r="C37" s="360">
        <v>4155.16</v>
      </c>
      <c r="D37" s="362">
        <v>120.83</v>
      </c>
      <c r="E37" s="361">
        <v>11.63</v>
      </c>
      <c r="F37" s="361">
        <v>24.95</v>
      </c>
      <c r="G37" s="362">
        <v>123.39</v>
      </c>
      <c r="H37" s="361">
        <v>428.88</v>
      </c>
      <c r="I37" s="361">
        <v>297.2</v>
      </c>
      <c r="J37" s="361">
        <v>25.07</v>
      </c>
      <c r="K37" s="361">
        <f t="shared" si="1"/>
        <v>22.808799999999998</v>
      </c>
      <c r="M37"/>
      <c r="N37" s="210"/>
      <c r="O37"/>
      <c r="P37"/>
      <c r="S37"/>
      <c r="V37"/>
      <c r="Z37" s="7"/>
      <c r="AA37" s="7"/>
      <c r="AB37" s="7"/>
      <c r="AC37" s="7"/>
      <c r="AD37" s="7"/>
      <c r="AE37" s="7"/>
      <c r="AF37" s="7"/>
    </row>
    <row r="38" spans="1:32">
      <c r="B38" s="359">
        <v>20</v>
      </c>
      <c r="C38" s="360">
        <v>4215.13</v>
      </c>
      <c r="D38" s="362">
        <v>120.87</v>
      </c>
      <c r="E38" s="361">
        <v>11.75</v>
      </c>
      <c r="F38" s="361">
        <v>25.03</v>
      </c>
      <c r="G38" s="362">
        <v>123.28</v>
      </c>
      <c r="H38" s="361">
        <v>432.96</v>
      </c>
      <c r="I38" s="361">
        <v>295.7</v>
      </c>
      <c r="J38" s="361">
        <v>25.06</v>
      </c>
      <c r="K38" s="361">
        <f t="shared" si="1"/>
        <v>22.706</v>
      </c>
      <c r="M38"/>
      <c r="N38" s="210"/>
      <c r="O38"/>
      <c r="P38"/>
      <c r="S38"/>
      <c r="V38"/>
      <c r="Z38" s="7"/>
      <c r="AA38" s="7"/>
      <c r="AB38" s="7"/>
      <c r="AC38" s="7"/>
      <c r="AD38" s="7"/>
      <c r="AE38" s="7"/>
      <c r="AF38" s="7"/>
    </row>
    <row r="39" spans="1:32"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S39"/>
      <c r="V39"/>
    </row>
    <row r="40" spans="1:32" ht="18.75">
      <c r="B40" s="99" t="s">
        <v>8</v>
      </c>
      <c r="C40" s="24" t="s">
        <v>515</v>
      </c>
      <c r="D40" s="23"/>
      <c r="E40" s="23"/>
      <c r="F40" s="23"/>
      <c r="G40" s="23"/>
      <c r="H40" s="23"/>
      <c r="I40" s="364"/>
      <c r="J40" s="364"/>
      <c r="K40" s="364"/>
      <c r="S40"/>
      <c r="V40"/>
    </row>
    <row r="41" spans="1:32">
      <c r="B41" s="306"/>
      <c r="C41" s="308"/>
      <c r="D41" s="308"/>
      <c r="E41" s="308"/>
      <c r="F41" s="308"/>
      <c r="G41" s="308"/>
      <c r="H41" s="308"/>
      <c r="I41" s="308"/>
      <c r="J41" s="308"/>
      <c r="K41" s="308"/>
      <c r="S41"/>
      <c r="V41"/>
    </row>
    <row r="42" spans="1:32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S42"/>
      <c r="V42"/>
    </row>
    <row r="43" spans="1:32"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S43"/>
      <c r="V43"/>
    </row>
    <row r="44" spans="1:32">
      <c r="A44" s="297"/>
      <c r="I44" s="299"/>
      <c r="J44" s="299"/>
      <c r="K44" s="299"/>
      <c r="L44" s="297"/>
      <c r="S44"/>
      <c r="V44"/>
    </row>
    <row r="45" spans="1:32">
      <c r="A45" s="297"/>
      <c r="B45" s="300"/>
      <c r="C45" s="301"/>
      <c r="D45" s="302"/>
      <c r="E45" s="301"/>
      <c r="F45" s="301"/>
      <c r="G45" s="302"/>
      <c r="H45" s="301"/>
      <c r="I45" s="301"/>
      <c r="J45" s="303"/>
      <c r="K45" s="303"/>
      <c r="L45" s="297"/>
    </row>
    <row r="46" spans="1:32">
      <c r="A46" s="297"/>
      <c r="B46" s="300"/>
      <c r="C46" s="301"/>
      <c r="D46" s="302"/>
      <c r="E46" s="301"/>
      <c r="F46" s="301"/>
      <c r="G46" s="302"/>
      <c r="H46" s="301"/>
      <c r="I46" s="301"/>
      <c r="J46" s="303"/>
      <c r="K46" s="303"/>
      <c r="L46" s="297"/>
      <c r="S46" s="32" t="s">
        <v>469</v>
      </c>
      <c r="T46" s="32" t="s">
        <v>470</v>
      </c>
      <c r="U46" s="32" t="s">
        <v>471</v>
      </c>
      <c r="V46" s="32" t="s">
        <v>472</v>
      </c>
      <c r="W46" s="32" t="s">
        <v>473</v>
      </c>
      <c r="X46" s="32" t="s">
        <v>474</v>
      </c>
      <c r="Y46" s="32" t="s">
        <v>5</v>
      </c>
      <c r="Z46" s="32" t="s">
        <v>475</v>
      </c>
    </row>
    <row r="47" spans="1:32">
      <c r="A47" s="297"/>
      <c r="B47" s="300"/>
      <c r="C47" s="301"/>
      <c r="D47" s="302"/>
      <c r="E47" s="301"/>
      <c r="F47" s="301"/>
      <c r="G47" s="302"/>
      <c r="H47" s="301"/>
      <c r="I47" s="301"/>
      <c r="J47" s="303"/>
      <c r="K47" s="303"/>
      <c r="L47" s="297"/>
      <c r="S47" s="6">
        <f>LARGE($O$48:$O$58,COUNTIF($O$48:$O$58,"&gt;"&amp;B13))</f>
        <v>15.5</v>
      </c>
      <c r="T47" s="6">
        <v>15</v>
      </c>
      <c r="U47" s="6">
        <f>VLOOKUP(S47,$O$48:$Q$58,3,FALSE)</f>
        <v>23.718</v>
      </c>
      <c r="V47" s="6">
        <f>VLOOKUP(T47,$O$48:$Q$58,3,FALSE)</f>
        <v>23.812999999999999</v>
      </c>
      <c r="W47" s="6">
        <f>(U47-V47)/(S47-T47)*(B13-T47)+V47</f>
        <v>23.812999999999999</v>
      </c>
      <c r="X47" s="314">
        <v>15</v>
      </c>
      <c r="Y47" s="382">
        <f>J13</f>
        <v>26.35</v>
      </c>
      <c r="Z47" s="382">
        <f>Y47-W47</f>
        <v>2.5370000000000026</v>
      </c>
    </row>
    <row r="48" spans="1:32" ht="13.5">
      <c r="A48" s="297"/>
      <c r="B48" s="300"/>
      <c r="C48" s="301"/>
      <c r="D48" s="302"/>
      <c r="E48" s="301"/>
      <c r="F48" s="301"/>
      <c r="G48" s="302"/>
      <c r="H48" s="301"/>
      <c r="I48" s="301"/>
      <c r="J48" s="303"/>
      <c r="K48" s="303"/>
      <c r="L48" s="297"/>
      <c r="O48">
        <v>15</v>
      </c>
      <c r="P48" s="315">
        <v>2786.79</v>
      </c>
      <c r="Q48">
        <v>23.812999999999999</v>
      </c>
      <c r="S48" s="6">
        <f t="shared" ref="S48:S71" si="2">LARGE($O$48:$O$58,COUNTIF($O$48:$O$58,"&gt;"&amp;B14))</f>
        <v>15.5</v>
      </c>
      <c r="T48" s="6">
        <f>SMALL($O$48:$O$58,COUNTIF($O$48:$O$58,"&lt;"&amp;B14))</f>
        <v>15</v>
      </c>
      <c r="U48" s="6">
        <f>VLOOKUP(S48,$O$48:$Q$58,3,FALSE)</f>
        <v>23.718</v>
      </c>
      <c r="V48" s="6">
        <f t="shared" ref="V48:V71" si="3">VLOOKUP(T48,$O$48:$Q$58,3,FALSE)</f>
        <v>23.812999999999999</v>
      </c>
      <c r="W48" s="6">
        <f>(U48-V48)/(S48-T48)*(B14-T48)+V48</f>
        <v>23.774999999999999</v>
      </c>
      <c r="X48" s="314">
        <v>15.2</v>
      </c>
      <c r="Y48" s="382">
        <f t="shared" ref="Y48:Y72" si="4">J14</f>
        <v>26.25</v>
      </c>
      <c r="Z48" s="382">
        <f t="shared" ref="Z48:Z72" si="5">Y48-W48</f>
        <v>2.4750000000000014</v>
      </c>
    </row>
    <row r="49" spans="1:26" ht="13.5">
      <c r="A49" s="297"/>
      <c r="B49" s="300"/>
      <c r="C49" s="301"/>
      <c r="D49" s="302"/>
      <c r="E49" s="301"/>
      <c r="F49" s="301"/>
      <c r="G49" s="302"/>
      <c r="H49" s="301"/>
      <c r="I49" s="301"/>
      <c r="J49" s="303"/>
      <c r="K49" s="303"/>
      <c r="L49" s="297"/>
      <c r="O49">
        <v>15.5</v>
      </c>
      <c r="P49" s="315">
        <v>2922.72</v>
      </c>
      <c r="Q49">
        <v>23.718</v>
      </c>
      <c r="S49" s="6">
        <f t="shared" si="2"/>
        <v>15.5</v>
      </c>
      <c r="T49" s="6">
        <f t="shared" ref="T49:T71" si="6">SMALL($O$48:$O$58,COUNTIF($O$48:$O$58,"&lt;"&amp;B15))</f>
        <v>15</v>
      </c>
      <c r="U49" s="6">
        <f t="shared" ref="U49:U71" si="7">VLOOKUP(S49,$O$48:$Q$58,3,FALSE)</f>
        <v>23.718</v>
      </c>
      <c r="V49" s="6">
        <f t="shared" si="3"/>
        <v>23.812999999999999</v>
      </c>
      <c r="W49" s="6">
        <f t="shared" ref="W49:W71" si="8">(U49-V49)/(S49-T49)*(B15-T49)+V49</f>
        <v>23.736999999999998</v>
      </c>
      <c r="X49" s="314">
        <v>15.4</v>
      </c>
      <c r="Y49" s="382">
        <f t="shared" si="4"/>
        <v>26.16</v>
      </c>
      <c r="Z49" s="382">
        <f t="shared" si="5"/>
        <v>2.4230000000000018</v>
      </c>
    </row>
    <row r="50" spans="1:26" ht="13.5">
      <c r="A50" s="297"/>
      <c r="B50" s="300"/>
      <c r="C50" s="301"/>
      <c r="D50" s="302"/>
      <c r="E50" s="301"/>
      <c r="F50" s="301"/>
      <c r="G50" s="302"/>
      <c r="H50" s="301"/>
      <c r="I50" s="301"/>
      <c r="J50" s="303"/>
      <c r="K50" s="303"/>
      <c r="L50" s="297"/>
      <c r="M50"/>
      <c r="N50" s="210"/>
      <c r="O50">
        <v>16</v>
      </c>
      <c r="P50" s="315">
        <v>3060.24</v>
      </c>
      <c r="Q50">
        <v>23.605</v>
      </c>
      <c r="R50" s="211"/>
      <c r="S50" s="6">
        <f t="shared" si="2"/>
        <v>16</v>
      </c>
      <c r="T50" s="6">
        <f t="shared" si="6"/>
        <v>15.5</v>
      </c>
      <c r="U50" s="6">
        <f t="shared" si="7"/>
        <v>23.605</v>
      </c>
      <c r="V50" s="6">
        <f t="shared" si="3"/>
        <v>23.718</v>
      </c>
      <c r="W50" s="6">
        <f t="shared" si="8"/>
        <v>23.695399999999999</v>
      </c>
      <c r="X50" s="314">
        <v>15.6</v>
      </c>
      <c r="Y50" s="382">
        <f t="shared" si="4"/>
        <v>26.06</v>
      </c>
      <c r="Z50" s="382">
        <f t="shared" si="5"/>
        <v>2.3645999999999994</v>
      </c>
    </row>
    <row r="51" spans="1:26" ht="13.5">
      <c r="A51" s="297"/>
      <c r="B51" s="300"/>
      <c r="C51" s="301"/>
      <c r="D51" s="302"/>
      <c r="E51" s="301"/>
      <c r="F51" s="301"/>
      <c r="G51" s="302"/>
      <c r="H51" s="301"/>
      <c r="I51" s="301"/>
      <c r="J51" s="303"/>
      <c r="K51" s="303"/>
      <c r="L51" s="297"/>
      <c r="M51"/>
      <c r="N51" s="210"/>
      <c r="O51">
        <v>16.5</v>
      </c>
      <c r="P51" s="315">
        <v>3199.31</v>
      </c>
      <c r="Q51">
        <v>23.497</v>
      </c>
      <c r="R51" s="211"/>
      <c r="S51" s="6">
        <f t="shared" si="2"/>
        <v>16</v>
      </c>
      <c r="T51" s="6">
        <f t="shared" si="6"/>
        <v>15.5</v>
      </c>
      <c r="U51" s="6">
        <f t="shared" si="7"/>
        <v>23.605</v>
      </c>
      <c r="V51" s="6">
        <f t="shared" si="3"/>
        <v>23.718</v>
      </c>
      <c r="W51" s="6">
        <f t="shared" si="8"/>
        <v>23.650200000000002</v>
      </c>
      <c r="X51" s="314">
        <v>15.8</v>
      </c>
      <c r="Y51" s="382">
        <f t="shared" si="4"/>
        <v>25.98</v>
      </c>
      <c r="Z51" s="382">
        <f t="shared" si="5"/>
        <v>2.3297999999999988</v>
      </c>
    </row>
    <row r="52" spans="1:26" ht="13.5">
      <c r="A52" s="297"/>
      <c r="B52" s="300"/>
      <c r="C52" s="301"/>
      <c r="D52" s="302"/>
      <c r="E52" s="301"/>
      <c r="F52" s="301"/>
      <c r="G52" s="302"/>
      <c r="H52" s="301"/>
      <c r="I52" s="301"/>
      <c r="J52" s="303"/>
      <c r="K52" s="303"/>
      <c r="L52" s="297"/>
      <c r="M52"/>
      <c r="N52" s="210"/>
      <c r="O52">
        <v>17</v>
      </c>
      <c r="P52" s="315">
        <v>3339.91</v>
      </c>
      <c r="Q52">
        <v>23.404</v>
      </c>
      <c r="R52" s="211"/>
      <c r="W52" s="32">
        <f>VLOOKUP(X52,$O$48:$Q$58,3,FALSE)</f>
        <v>23.605</v>
      </c>
      <c r="X52" s="314">
        <v>16</v>
      </c>
      <c r="Y52" s="382">
        <f t="shared" si="4"/>
        <v>25.89</v>
      </c>
      <c r="Z52" s="382">
        <f t="shared" si="5"/>
        <v>2.2850000000000001</v>
      </c>
    </row>
    <row r="53" spans="1:26" ht="13.5">
      <c r="A53" s="297"/>
      <c r="B53" s="300"/>
      <c r="C53" s="301"/>
      <c r="D53" s="302"/>
      <c r="E53" s="301"/>
      <c r="F53" s="301"/>
      <c r="G53" s="302"/>
      <c r="H53" s="301"/>
      <c r="I53" s="301"/>
      <c r="J53" s="303"/>
      <c r="K53" s="303"/>
      <c r="L53" s="297"/>
      <c r="M53"/>
      <c r="N53" s="210"/>
      <c r="O53">
        <v>17.5</v>
      </c>
      <c r="P53" s="315">
        <v>3482.02</v>
      </c>
      <c r="Q53">
        <v>23.324999999999999</v>
      </c>
      <c r="R53" s="211"/>
      <c r="S53" s="6">
        <f t="shared" si="2"/>
        <v>16.5</v>
      </c>
      <c r="T53" s="6">
        <f t="shared" si="6"/>
        <v>16</v>
      </c>
      <c r="U53" s="6">
        <f t="shared" si="7"/>
        <v>23.497</v>
      </c>
      <c r="V53" s="6">
        <f t="shared" si="3"/>
        <v>23.605</v>
      </c>
      <c r="W53" s="6">
        <f t="shared" si="8"/>
        <v>23.561800000000002</v>
      </c>
      <c r="X53" s="314">
        <v>16.2</v>
      </c>
      <c r="Y53" s="382">
        <f t="shared" si="4"/>
        <v>25.81</v>
      </c>
      <c r="Z53" s="382">
        <f t="shared" si="5"/>
        <v>2.2481999999999971</v>
      </c>
    </row>
    <row r="54" spans="1:26" ht="13.5">
      <c r="A54" s="297"/>
      <c r="B54" s="300"/>
      <c r="C54" s="301"/>
      <c r="D54" s="302"/>
      <c r="E54" s="301"/>
      <c r="F54" s="301"/>
      <c r="G54" s="302"/>
      <c r="H54" s="301"/>
      <c r="I54" s="301"/>
      <c r="J54" s="303"/>
      <c r="K54" s="303"/>
      <c r="L54" s="297"/>
      <c r="M54"/>
      <c r="N54" s="210"/>
      <c r="O54">
        <v>18</v>
      </c>
      <c r="P54" s="315">
        <v>3625.64</v>
      </c>
      <c r="Q54">
        <v>23.257000000000001</v>
      </c>
      <c r="R54" s="211"/>
      <c r="S54" s="6">
        <f t="shared" si="2"/>
        <v>16.5</v>
      </c>
      <c r="T54" s="6">
        <f t="shared" si="6"/>
        <v>16</v>
      </c>
      <c r="U54" s="6">
        <f t="shared" si="7"/>
        <v>23.497</v>
      </c>
      <c r="V54" s="6">
        <f t="shared" si="3"/>
        <v>23.605</v>
      </c>
      <c r="W54" s="6">
        <f t="shared" si="8"/>
        <v>23.518599999999999</v>
      </c>
      <c r="X54" s="314">
        <v>16.399999999999999</v>
      </c>
      <c r="Y54" s="382">
        <f t="shared" si="4"/>
        <v>25.73</v>
      </c>
      <c r="Z54" s="382">
        <f t="shared" si="5"/>
        <v>2.2114000000000011</v>
      </c>
    </row>
    <row r="55" spans="1:26" ht="13.5">
      <c r="A55" s="297"/>
      <c r="B55" s="300"/>
      <c r="C55" s="301"/>
      <c r="D55" s="302"/>
      <c r="E55" s="301"/>
      <c r="F55" s="301"/>
      <c r="G55" s="302"/>
      <c r="H55" s="301"/>
      <c r="I55" s="301"/>
      <c r="J55" s="303"/>
      <c r="K55" s="303"/>
      <c r="L55" s="297"/>
      <c r="M55"/>
      <c r="N55" s="210"/>
      <c r="O55">
        <v>18.5</v>
      </c>
      <c r="P55" s="315">
        <v>3770.76</v>
      </c>
      <c r="Q55">
        <v>23.198</v>
      </c>
      <c r="R55" s="211"/>
      <c r="S55" s="6">
        <f t="shared" si="2"/>
        <v>17</v>
      </c>
      <c r="T55" s="6">
        <f t="shared" si="6"/>
        <v>16.5</v>
      </c>
      <c r="U55" s="6">
        <f t="shared" si="7"/>
        <v>23.404</v>
      </c>
      <c r="V55" s="6">
        <f t="shared" si="3"/>
        <v>23.497</v>
      </c>
      <c r="W55" s="6">
        <f t="shared" si="8"/>
        <v>23.478400000000001</v>
      </c>
      <c r="X55" s="314">
        <v>16.600000000000001</v>
      </c>
      <c r="Y55" s="382">
        <f t="shared" si="4"/>
        <v>25.65</v>
      </c>
      <c r="Z55" s="382">
        <f t="shared" si="5"/>
        <v>2.171599999999998</v>
      </c>
    </row>
    <row r="56" spans="1:26" ht="13.5">
      <c r="A56" s="297"/>
      <c r="B56" s="300"/>
      <c r="C56" s="301"/>
      <c r="D56" s="302"/>
      <c r="E56" s="301"/>
      <c r="F56" s="301"/>
      <c r="G56" s="302"/>
      <c r="H56" s="301"/>
      <c r="I56" s="301"/>
      <c r="J56" s="303"/>
      <c r="K56" s="303"/>
      <c r="L56" s="297"/>
      <c r="M56"/>
      <c r="N56" s="210"/>
      <c r="O56">
        <v>19</v>
      </c>
      <c r="P56" s="315">
        <v>3917.38</v>
      </c>
      <c r="Q56">
        <v>23.152999999999999</v>
      </c>
      <c r="R56" s="211"/>
      <c r="S56" s="6">
        <f t="shared" si="2"/>
        <v>17</v>
      </c>
      <c r="T56" s="6">
        <f t="shared" si="6"/>
        <v>16.5</v>
      </c>
      <c r="U56" s="6">
        <f t="shared" si="7"/>
        <v>23.404</v>
      </c>
      <c r="V56" s="6">
        <f t="shared" si="3"/>
        <v>23.497</v>
      </c>
      <c r="W56" s="6">
        <f t="shared" si="8"/>
        <v>23.441199999999998</v>
      </c>
      <c r="X56" s="314">
        <v>16.8</v>
      </c>
      <c r="Y56" s="382">
        <f t="shared" si="4"/>
        <v>25.59</v>
      </c>
      <c r="Z56" s="382">
        <f t="shared" si="5"/>
        <v>2.1488000000000014</v>
      </c>
    </row>
    <row r="57" spans="1:26" ht="13.5">
      <c r="A57" s="297"/>
      <c r="B57" s="300"/>
      <c r="C57" s="301"/>
      <c r="D57" s="302"/>
      <c r="E57" s="301"/>
      <c r="F57" s="301"/>
      <c r="G57" s="302"/>
      <c r="H57" s="301"/>
      <c r="I57" s="301"/>
      <c r="J57" s="303"/>
      <c r="K57" s="303"/>
      <c r="L57" s="297"/>
      <c r="M57"/>
      <c r="N57" s="210"/>
      <c r="O57">
        <v>19.5</v>
      </c>
      <c r="P57" s="315">
        <v>4065.57</v>
      </c>
      <c r="Q57">
        <v>22.963000000000001</v>
      </c>
      <c r="R57" s="211"/>
      <c r="W57" s="32">
        <f>VLOOKUP(X57,$O$48:$Q$58,3,FALSE)</f>
        <v>23.404</v>
      </c>
      <c r="X57" s="314">
        <v>17</v>
      </c>
      <c r="Y57" s="382">
        <f t="shared" si="4"/>
        <v>25.52</v>
      </c>
      <c r="Z57" s="382">
        <f t="shared" si="5"/>
        <v>2.1159999999999997</v>
      </c>
    </row>
    <row r="58" spans="1:26" ht="13.5">
      <c r="A58" s="297"/>
      <c r="B58" s="300"/>
      <c r="C58" s="301"/>
      <c r="D58" s="302"/>
      <c r="E58" s="301"/>
      <c r="F58" s="301"/>
      <c r="G58" s="302"/>
      <c r="H58" s="301"/>
      <c r="I58" s="301"/>
      <c r="J58" s="303"/>
      <c r="K58" s="303"/>
      <c r="L58" s="297"/>
      <c r="M58"/>
      <c r="N58" s="210"/>
      <c r="O58">
        <v>20</v>
      </c>
      <c r="P58" s="315">
        <v>4215.13</v>
      </c>
      <c r="Q58">
        <v>22.706</v>
      </c>
      <c r="R58" s="211"/>
      <c r="S58" s="6">
        <f t="shared" si="2"/>
        <v>17.5</v>
      </c>
      <c r="T58" s="6">
        <f t="shared" si="6"/>
        <v>17</v>
      </c>
      <c r="U58" s="6">
        <f t="shared" si="7"/>
        <v>23.324999999999999</v>
      </c>
      <c r="V58" s="6">
        <f t="shared" si="3"/>
        <v>23.404</v>
      </c>
      <c r="W58" s="6">
        <f t="shared" si="8"/>
        <v>23.372399999999999</v>
      </c>
      <c r="X58" s="314">
        <v>17.2</v>
      </c>
      <c r="Y58" s="382">
        <f t="shared" si="4"/>
        <v>25.47</v>
      </c>
      <c r="Z58" s="382">
        <f t="shared" si="5"/>
        <v>2.0975999999999999</v>
      </c>
    </row>
    <row r="59" spans="1:26">
      <c r="A59" s="297"/>
      <c r="B59" s="300"/>
      <c r="C59" s="301"/>
      <c r="D59" s="302"/>
      <c r="E59" s="301"/>
      <c r="F59" s="301"/>
      <c r="G59" s="302"/>
      <c r="H59" s="301"/>
      <c r="I59" s="301"/>
      <c r="J59" s="303"/>
      <c r="K59" s="303"/>
      <c r="L59" s="297"/>
      <c r="M59"/>
      <c r="N59" s="210"/>
      <c r="O59" s="211"/>
      <c r="P59"/>
      <c r="Q59"/>
      <c r="R59" s="211"/>
      <c r="S59" s="6">
        <f t="shared" si="2"/>
        <v>17.5</v>
      </c>
      <c r="T59" s="6">
        <f t="shared" si="6"/>
        <v>17</v>
      </c>
      <c r="U59" s="6">
        <f t="shared" si="7"/>
        <v>23.324999999999999</v>
      </c>
      <c r="V59" s="6">
        <f t="shared" si="3"/>
        <v>23.404</v>
      </c>
      <c r="W59" s="6">
        <f t="shared" si="8"/>
        <v>23.340799999999998</v>
      </c>
      <c r="X59" s="314">
        <v>17.399999999999999</v>
      </c>
      <c r="Y59" s="382">
        <f t="shared" si="4"/>
        <v>25.42</v>
      </c>
      <c r="Z59" s="382">
        <f t="shared" si="5"/>
        <v>2.0792000000000037</v>
      </c>
    </row>
    <row r="60" spans="1:26">
      <c r="A60" s="297"/>
      <c r="B60" s="300"/>
      <c r="C60" s="301"/>
      <c r="D60" s="302"/>
      <c r="E60" s="301"/>
      <c r="F60" s="301"/>
      <c r="G60" s="302"/>
      <c r="H60" s="301"/>
      <c r="I60" s="301"/>
      <c r="J60" s="303"/>
      <c r="K60" s="303"/>
      <c r="L60" s="297"/>
      <c r="M60"/>
      <c r="N60" s="210"/>
      <c r="O60" s="211"/>
      <c r="P60"/>
      <c r="Q60"/>
      <c r="R60" s="211"/>
      <c r="S60" s="6">
        <f t="shared" si="2"/>
        <v>18</v>
      </c>
      <c r="T60" s="6">
        <f t="shared" si="6"/>
        <v>17.5</v>
      </c>
      <c r="U60" s="6">
        <f t="shared" si="7"/>
        <v>23.257000000000001</v>
      </c>
      <c r="V60" s="6">
        <f t="shared" si="3"/>
        <v>23.324999999999999</v>
      </c>
      <c r="W60" s="6">
        <f t="shared" si="8"/>
        <v>23.311399999999999</v>
      </c>
      <c r="X60" s="314">
        <v>17.600000000000001</v>
      </c>
      <c r="Y60" s="382">
        <f t="shared" si="4"/>
        <v>25.37</v>
      </c>
      <c r="Z60" s="382">
        <f t="shared" si="5"/>
        <v>2.058600000000002</v>
      </c>
    </row>
    <row r="61" spans="1:26">
      <c r="A61" s="297"/>
      <c r="B61" s="300"/>
      <c r="C61" s="301"/>
      <c r="D61" s="302"/>
      <c r="E61" s="301"/>
      <c r="F61" s="301"/>
      <c r="G61" s="302"/>
      <c r="H61" s="301"/>
      <c r="I61" s="301"/>
      <c r="J61" s="303"/>
      <c r="K61" s="303"/>
      <c r="L61" s="297"/>
      <c r="M61"/>
      <c r="N61" s="210"/>
      <c r="O61" s="211"/>
      <c r="P61"/>
      <c r="Q61"/>
      <c r="R61" s="211"/>
      <c r="S61" s="6">
        <f t="shared" si="2"/>
        <v>18</v>
      </c>
      <c r="T61" s="6">
        <f t="shared" si="6"/>
        <v>17.5</v>
      </c>
      <c r="U61" s="6">
        <f t="shared" si="7"/>
        <v>23.257000000000001</v>
      </c>
      <c r="V61" s="6">
        <f t="shared" si="3"/>
        <v>23.324999999999999</v>
      </c>
      <c r="W61" s="6">
        <f t="shared" si="8"/>
        <v>23.284200000000002</v>
      </c>
      <c r="X61" s="314">
        <v>17.8</v>
      </c>
      <c r="Y61" s="382">
        <f t="shared" si="4"/>
        <v>25.32</v>
      </c>
      <c r="Z61" s="382">
        <f t="shared" si="5"/>
        <v>2.0357999999999983</v>
      </c>
    </row>
    <row r="62" spans="1:26">
      <c r="A62" s="297"/>
      <c r="B62" s="300"/>
      <c r="C62" s="301"/>
      <c r="D62" s="302"/>
      <c r="E62" s="301"/>
      <c r="F62" s="301"/>
      <c r="G62" s="302"/>
      <c r="H62" s="301"/>
      <c r="I62" s="301"/>
      <c r="J62" s="303"/>
      <c r="K62" s="303"/>
      <c r="L62" s="297"/>
      <c r="M62"/>
      <c r="N62" s="210"/>
      <c r="O62" s="211"/>
      <c r="P62"/>
      <c r="Q62"/>
      <c r="R62" s="211"/>
      <c r="W62" s="32">
        <f>VLOOKUP(X62,$O$48:$Q$58,3,FALSE)</f>
        <v>23.257000000000001</v>
      </c>
      <c r="X62" s="314">
        <v>18</v>
      </c>
      <c r="Y62" s="382">
        <f t="shared" si="4"/>
        <v>25.28</v>
      </c>
      <c r="Z62" s="382">
        <f t="shared" si="5"/>
        <v>2.0229999999999997</v>
      </c>
    </row>
    <row r="63" spans="1:26">
      <c r="A63" s="297"/>
      <c r="B63" s="300"/>
      <c r="C63" s="301"/>
      <c r="D63" s="302"/>
      <c r="E63" s="301"/>
      <c r="F63" s="301"/>
      <c r="G63" s="302"/>
      <c r="H63" s="301"/>
      <c r="I63" s="301"/>
      <c r="J63" s="303"/>
      <c r="K63" s="303"/>
      <c r="L63" s="297"/>
      <c r="M63"/>
      <c r="N63" s="210"/>
      <c r="O63" s="211"/>
      <c r="P63"/>
      <c r="Q63"/>
      <c r="R63" s="211"/>
      <c r="S63" s="6">
        <f t="shared" si="2"/>
        <v>18.5</v>
      </c>
      <c r="T63" s="6">
        <f t="shared" si="6"/>
        <v>18</v>
      </c>
      <c r="U63" s="6">
        <f t="shared" si="7"/>
        <v>23.198</v>
      </c>
      <c r="V63" s="6">
        <f t="shared" si="3"/>
        <v>23.257000000000001</v>
      </c>
      <c r="W63" s="6">
        <f t="shared" si="8"/>
        <v>23.2334</v>
      </c>
      <c r="X63" s="314">
        <v>18.2</v>
      </c>
      <c r="Y63" s="382">
        <f t="shared" si="4"/>
        <v>25.24</v>
      </c>
      <c r="Z63" s="382">
        <f t="shared" si="5"/>
        <v>2.0065999999999988</v>
      </c>
    </row>
    <row r="64" spans="1:26">
      <c r="A64" s="297"/>
      <c r="B64" s="300"/>
      <c r="C64" s="301"/>
      <c r="D64" s="302"/>
      <c r="E64" s="301"/>
      <c r="F64" s="301"/>
      <c r="G64" s="302"/>
      <c r="H64" s="301"/>
      <c r="I64" s="301"/>
      <c r="J64" s="303"/>
      <c r="K64" s="303"/>
      <c r="L64" s="297"/>
      <c r="M64"/>
      <c r="N64" s="210"/>
      <c r="O64" s="211"/>
      <c r="P64"/>
      <c r="Q64"/>
      <c r="R64" s="211"/>
      <c r="S64" s="6">
        <f t="shared" si="2"/>
        <v>18.5</v>
      </c>
      <c r="T64" s="6">
        <f t="shared" si="6"/>
        <v>18</v>
      </c>
      <c r="U64" s="6">
        <f t="shared" si="7"/>
        <v>23.198</v>
      </c>
      <c r="V64" s="6">
        <f t="shared" si="3"/>
        <v>23.257000000000001</v>
      </c>
      <c r="W64" s="6">
        <f t="shared" si="8"/>
        <v>23.209800000000001</v>
      </c>
      <c r="X64" s="314">
        <v>18.399999999999999</v>
      </c>
      <c r="Y64" s="382">
        <f t="shared" si="4"/>
        <v>25.21</v>
      </c>
      <c r="Z64" s="382">
        <f t="shared" si="5"/>
        <v>2.0001999999999995</v>
      </c>
    </row>
    <row r="65" spans="1:26">
      <c r="A65" s="297"/>
      <c r="B65" s="300"/>
      <c r="C65" s="301"/>
      <c r="D65" s="302"/>
      <c r="E65" s="301"/>
      <c r="F65" s="301"/>
      <c r="G65" s="302"/>
      <c r="H65" s="301"/>
      <c r="I65" s="301"/>
      <c r="J65" s="303"/>
      <c r="K65" s="303"/>
      <c r="L65" s="297"/>
      <c r="M65"/>
      <c r="N65" s="210"/>
      <c r="O65" s="211"/>
      <c r="P65"/>
      <c r="Q65"/>
      <c r="R65" s="211"/>
      <c r="S65" s="6">
        <f t="shared" si="2"/>
        <v>19</v>
      </c>
      <c r="T65" s="6">
        <f t="shared" si="6"/>
        <v>18.5</v>
      </c>
      <c r="U65" s="6">
        <f t="shared" si="7"/>
        <v>23.152999999999999</v>
      </c>
      <c r="V65" s="6">
        <f t="shared" si="3"/>
        <v>23.198</v>
      </c>
      <c r="W65" s="6">
        <f t="shared" si="8"/>
        <v>23.189</v>
      </c>
      <c r="X65" s="314">
        <v>18.600000000000001</v>
      </c>
      <c r="Y65" s="382">
        <f t="shared" si="4"/>
        <v>25.18</v>
      </c>
      <c r="Z65" s="382">
        <f t="shared" si="5"/>
        <v>1.9909999999999997</v>
      </c>
    </row>
    <row r="66" spans="1:26">
      <c r="A66" s="297"/>
      <c r="B66" s="300"/>
      <c r="C66" s="301"/>
      <c r="D66" s="302"/>
      <c r="E66" s="301"/>
      <c r="F66" s="301"/>
      <c r="G66" s="302"/>
      <c r="H66" s="301"/>
      <c r="I66" s="301"/>
      <c r="J66" s="303"/>
      <c r="K66" s="303"/>
      <c r="L66" s="297"/>
      <c r="M66"/>
      <c r="N66" s="210"/>
      <c r="O66" s="211"/>
      <c r="P66"/>
      <c r="Q66"/>
      <c r="R66" s="211"/>
      <c r="S66" s="6">
        <f t="shared" si="2"/>
        <v>19</v>
      </c>
      <c r="T66" s="6">
        <f t="shared" si="6"/>
        <v>18.5</v>
      </c>
      <c r="U66" s="6">
        <f t="shared" si="7"/>
        <v>23.152999999999999</v>
      </c>
      <c r="V66" s="6">
        <f t="shared" si="3"/>
        <v>23.198</v>
      </c>
      <c r="W66" s="6">
        <f t="shared" si="8"/>
        <v>23.170999999999999</v>
      </c>
      <c r="X66" s="314">
        <v>18.8</v>
      </c>
      <c r="Y66" s="382">
        <f t="shared" si="4"/>
        <v>25.15</v>
      </c>
      <c r="Z66" s="382">
        <f t="shared" si="5"/>
        <v>1.9789999999999992</v>
      </c>
    </row>
    <row r="67" spans="1:26">
      <c r="A67" s="297"/>
      <c r="B67" s="300"/>
      <c r="C67" s="301"/>
      <c r="D67" s="302"/>
      <c r="E67" s="301"/>
      <c r="F67" s="301"/>
      <c r="G67" s="302"/>
      <c r="H67" s="301"/>
      <c r="I67" s="301"/>
      <c r="J67" s="303"/>
      <c r="K67" s="303"/>
      <c r="L67" s="297"/>
      <c r="M67"/>
      <c r="N67" s="210"/>
      <c r="O67" s="211"/>
      <c r="P67"/>
      <c r="Q67"/>
      <c r="R67" s="211"/>
      <c r="W67" s="32">
        <f>VLOOKUP(X67,$O$48:$Q$58,3,FALSE)</f>
        <v>23.152999999999999</v>
      </c>
      <c r="X67" s="314">
        <v>19</v>
      </c>
      <c r="Y67" s="382">
        <f t="shared" si="4"/>
        <v>25.15</v>
      </c>
      <c r="Z67" s="382">
        <f t="shared" si="5"/>
        <v>1.9969999999999999</v>
      </c>
    </row>
    <row r="68" spans="1:26">
      <c r="A68" s="297"/>
      <c r="B68" s="300"/>
      <c r="C68" s="301"/>
      <c r="D68" s="302"/>
      <c r="E68" s="301"/>
      <c r="F68" s="301"/>
      <c r="G68" s="302"/>
      <c r="H68" s="301"/>
      <c r="I68" s="301"/>
      <c r="J68" s="303"/>
      <c r="K68" s="303"/>
      <c r="L68" s="297"/>
      <c r="M68"/>
      <c r="N68" s="210"/>
      <c r="O68" s="211"/>
      <c r="P68"/>
      <c r="Q68"/>
      <c r="R68" s="211"/>
      <c r="S68" s="6">
        <f t="shared" si="2"/>
        <v>19.5</v>
      </c>
      <c r="T68" s="6">
        <f t="shared" si="6"/>
        <v>19</v>
      </c>
      <c r="U68" s="6">
        <f t="shared" si="7"/>
        <v>22.963000000000001</v>
      </c>
      <c r="V68" s="6">
        <f t="shared" si="3"/>
        <v>23.152999999999999</v>
      </c>
      <c r="W68" s="6">
        <f t="shared" si="8"/>
        <v>23.076999999999998</v>
      </c>
      <c r="X68" s="314">
        <v>19.2</v>
      </c>
      <c r="Y68" s="382">
        <f t="shared" si="4"/>
        <v>25.13</v>
      </c>
      <c r="Z68" s="382">
        <f t="shared" si="5"/>
        <v>2.0530000000000008</v>
      </c>
    </row>
    <row r="69" spans="1:26">
      <c r="A69" s="297"/>
      <c r="B69" s="300"/>
      <c r="C69" s="301"/>
      <c r="D69" s="302"/>
      <c r="E69" s="301"/>
      <c r="F69" s="301"/>
      <c r="G69" s="302"/>
      <c r="H69" s="301"/>
      <c r="I69" s="301"/>
      <c r="J69" s="303"/>
      <c r="K69" s="303"/>
      <c r="L69" s="297"/>
      <c r="M69"/>
      <c r="N69" s="210"/>
      <c r="O69" s="211"/>
      <c r="P69"/>
      <c r="Q69"/>
      <c r="R69" s="211"/>
      <c r="S69" s="6">
        <f t="shared" si="2"/>
        <v>19.5</v>
      </c>
      <c r="T69" s="6">
        <f t="shared" si="6"/>
        <v>19</v>
      </c>
      <c r="U69" s="6">
        <f t="shared" si="7"/>
        <v>22.963000000000001</v>
      </c>
      <c r="V69" s="6">
        <f t="shared" si="3"/>
        <v>23.152999999999999</v>
      </c>
      <c r="W69" s="6">
        <f t="shared" si="8"/>
        <v>23.001000000000001</v>
      </c>
      <c r="X69" s="314">
        <v>19.399999999999999</v>
      </c>
      <c r="Y69" s="382">
        <f t="shared" si="4"/>
        <v>25.11</v>
      </c>
      <c r="Z69" s="382">
        <f t="shared" si="5"/>
        <v>2.1089999999999982</v>
      </c>
    </row>
    <row r="70" spans="1:26">
      <c r="A70" s="297"/>
      <c r="B70" s="300"/>
      <c r="C70" s="301"/>
      <c r="D70" s="302"/>
      <c r="E70" s="301"/>
      <c r="F70" s="301"/>
      <c r="G70" s="302"/>
      <c r="H70" s="301"/>
      <c r="I70" s="301"/>
      <c r="J70" s="303"/>
      <c r="K70" s="303"/>
      <c r="L70" s="297"/>
      <c r="M70"/>
      <c r="N70" s="210"/>
      <c r="O70" s="211"/>
      <c r="P70"/>
      <c r="Q70"/>
      <c r="R70" s="211"/>
      <c r="S70" s="6">
        <f t="shared" si="2"/>
        <v>20</v>
      </c>
      <c r="T70" s="6">
        <f t="shared" si="6"/>
        <v>19.5</v>
      </c>
      <c r="U70" s="6">
        <f t="shared" si="7"/>
        <v>22.706</v>
      </c>
      <c r="V70" s="6">
        <f t="shared" si="3"/>
        <v>22.963000000000001</v>
      </c>
      <c r="W70" s="6">
        <f t="shared" si="8"/>
        <v>22.9116</v>
      </c>
      <c r="X70" s="314">
        <v>19.600000000000001</v>
      </c>
      <c r="Y70" s="382">
        <f t="shared" si="4"/>
        <v>25.09</v>
      </c>
      <c r="Z70" s="382">
        <f t="shared" si="5"/>
        <v>2.1783999999999999</v>
      </c>
    </row>
    <row r="71" spans="1:26">
      <c r="A71" s="297"/>
      <c r="B71" s="297"/>
      <c r="C71" s="297"/>
      <c r="D71" s="304"/>
      <c r="E71" s="304"/>
      <c r="F71" s="304"/>
      <c r="G71" s="304"/>
      <c r="H71" s="304"/>
      <c r="I71" s="304"/>
      <c r="J71" s="304"/>
      <c r="K71" s="304"/>
      <c r="L71" s="297"/>
      <c r="M71"/>
      <c r="N71" s="210"/>
      <c r="O71" s="211"/>
      <c r="P71"/>
      <c r="Q71"/>
      <c r="R71" s="211"/>
      <c r="S71" s="6">
        <f t="shared" si="2"/>
        <v>20</v>
      </c>
      <c r="T71" s="6">
        <f t="shared" si="6"/>
        <v>19.5</v>
      </c>
      <c r="U71" s="6">
        <f t="shared" si="7"/>
        <v>22.706</v>
      </c>
      <c r="V71" s="6">
        <f t="shared" si="3"/>
        <v>22.963000000000001</v>
      </c>
      <c r="W71" s="6">
        <f t="shared" si="8"/>
        <v>22.808799999999998</v>
      </c>
      <c r="X71" s="314">
        <v>19.8</v>
      </c>
      <c r="Y71" s="382">
        <f t="shared" si="4"/>
        <v>25.07</v>
      </c>
      <c r="Z71" s="382">
        <f t="shared" si="5"/>
        <v>2.2612000000000023</v>
      </c>
    </row>
    <row r="72" spans="1:26">
      <c r="A72" s="297"/>
      <c r="B72" s="305"/>
      <c r="C72" s="306"/>
      <c r="D72" s="297"/>
      <c r="E72" s="297"/>
      <c r="F72" s="297"/>
      <c r="G72" s="297"/>
      <c r="H72" s="297"/>
      <c r="I72" s="297"/>
      <c r="J72" s="297"/>
      <c r="K72" s="297"/>
      <c r="L72" s="297"/>
      <c r="M72" s="230"/>
      <c r="N72" s="309"/>
      <c r="O72" s="310"/>
      <c r="P72" s="230"/>
      <c r="Q72"/>
      <c r="R72" s="211"/>
      <c r="W72" s="32">
        <f>VLOOKUP(X72,$O$48:$Q$58,3,FALSE)</f>
        <v>22.706</v>
      </c>
      <c r="X72" s="314">
        <v>20</v>
      </c>
      <c r="Y72" s="382">
        <f t="shared" si="4"/>
        <v>25.06</v>
      </c>
      <c r="Z72" s="382">
        <f t="shared" si="5"/>
        <v>2.3539999999999992</v>
      </c>
    </row>
    <row r="73" spans="1:26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30"/>
      <c r="N73" s="309"/>
      <c r="O73" s="310"/>
      <c r="P73" s="230"/>
      <c r="Q73"/>
      <c r="R73" s="211"/>
      <c r="T73"/>
      <c r="U73"/>
      <c r="X73"/>
      <c r="Y73"/>
    </row>
    <row r="74" spans="1:26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30"/>
      <c r="N74" s="309"/>
      <c r="O74" s="310"/>
      <c r="P74" s="230"/>
      <c r="Q74"/>
      <c r="R74" s="211"/>
      <c r="T74"/>
      <c r="U74"/>
      <c r="X74"/>
      <c r="Y74"/>
    </row>
    <row r="75" spans="1:26" ht="18.75">
      <c r="A75" s="297"/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297"/>
      <c r="M75" s="230"/>
      <c r="N75" s="309"/>
      <c r="O75" s="310"/>
      <c r="P75" s="230"/>
      <c r="Q75"/>
      <c r="R75" s="211"/>
      <c r="T75"/>
      <c r="U75"/>
      <c r="X75"/>
      <c r="Y75"/>
    </row>
    <row r="76" spans="1:26">
      <c r="A76" s="297"/>
      <c r="B76" s="306"/>
      <c r="C76" s="308"/>
      <c r="D76" s="308"/>
      <c r="E76" s="308"/>
      <c r="F76" s="308"/>
      <c r="G76" s="308"/>
      <c r="H76" s="308"/>
      <c r="I76" s="308"/>
      <c r="J76" s="308"/>
      <c r="K76" s="308"/>
      <c r="L76" s="297"/>
      <c r="M76" s="297"/>
      <c r="N76" s="297"/>
      <c r="O76" s="297"/>
      <c r="P76" s="297"/>
    </row>
    <row r="77" spans="1:26">
      <c r="A77" s="297"/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7"/>
      <c r="M77" s="297"/>
      <c r="N77" s="297"/>
      <c r="O77" s="297"/>
      <c r="P77" s="297"/>
    </row>
    <row r="78" spans="1:26">
      <c r="A78" s="297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7"/>
      <c r="M78" s="297"/>
      <c r="N78" s="297"/>
      <c r="O78" s="297"/>
      <c r="P78" s="297"/>
    </row>
    <row r="79" spans="1:26">
      <c r="A79" s="297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7"/>
      <c r="M79" s="297"/>
      <c r="N79" s="297"/>
      <c r="O79" s="297"/>
      <c r="P79" s="297"/>
    </row>
    <row r="80" spans="1:26">
      <c r="A80" s="297"/>
      <c r="B80" s="300"/>
      <c r="C80" s="301"/>
      <c r="D80" s="302"/>
      <c r="E80" s="301"/>
      <c r="F80" s="301"/>
      <c r="G80" s="302"/>
      <c r="H80" s="301"/>
      <c r="I80" s="301"/>
      <c r="J80" s="303"/>
      <c r="K80" s="303"/>
      <c r="L80" s="297"/>
      <c r="M80" s="297"/>
      <c r="N80" s="297"/>
      <c r="O80" s="297"/>
      <c r="P80" s="297"/>
    </row>
    <row r="81" spans="1:26">
      <c r="A81" s="297"/>
      <c r="B81" s="300"/>
      <c r="C81" s="301"/>
      <c r="D81" s="302"/>
      <c r="E81" s="301"/>
      <c r="F81" s="301"/>
      <c r="G81" s="302"/>
      <c r="H81" s="301"/>
      <c r="I81" s="301"/>
      <c r="J81" s="303"/>
      <c r="K81" s="303"/>
      <c r="L81" s="297"/>
      <c r="M81" s="297"/>
      <c r="N81" s="297"/>
      <c r="O81" s="297"/>
      <c r="P81" s="297"/>
    </row>
    <row r="82" spans="1:26">
      <c r="B82" s="300"/>
      <c r="C82" s="301"/>
      <c r="D82" s="302"/>
      <c r="E82" s="301"/>
      <c r="F82" s="301"/>
      <c r="G82" s="302"/>
      <c r="H82" s="301"/>
      <c r="I82" s="301"/>
      <c r="J82" s="303"/>
      <c r="K82" s="303"/>
      <c r="L82" s="297"/>
      <c r="M82" s="297"/>
      <c r="N82" s="297"/>
      <c r="O82" s="297"/>
      <c r="P82" s="297"/>
    </row>
    <row r="83" spans="1:26">
      <c r="B83" s="300"/>
      <c r="C83" s="301"/>
      <c r="D83" s="302"/>
      <c r="E83" s="301"/>
      <c r="F83" s="301"/>
      <c r="G83" s="302"/>
      <c r="H83" s="301"/>
      <c r="I83" s="301"/>
      <c r="J83" s="303"/>
      <c r="K83" s="303"/>
      <c r="L83" s="297"/>
      <c r="M83" s="297"/>
      <c r="N83" s="297"/>
      <c r="O83" s="297"/>
      <c r="P83" s="297"/>
    </row>
    <row r="84" spans="1:26">
      <c r="B84" s="300"/>
      <c r="C84" s="301"/>
      <c r="D84" s="302"/>
      <c r="E84" s="301"/>
      <c r="F84" s="301"/>
      <c r="G84" s="302"/>
      <c r="H84" s="301"/>
      <c r="I84" s="301"/>
      <c r="J84" s="303"/>
      <c r="K84" s="303"/>
      <c r="L84" s="297"/>
      <c r="M84" s="297"/>
      <c r="N84" s="297"/>
      <c r="O84" s="297"/>
      <c r="P84" s="297"/>
    </row>
    <row r="85" spans="1:26">
      <c r="B85" s="300"/>
      <c r="C85" s="301"/>
      <c r="D85" s="302"/>
      <c r="E85" s="301"/>
      <c r="F85" s="301"/>
      <c r="G85" s="302"/>
      <c r="H85" s="301"/>
      <c r="I85" s="301"/>
      <c r="J85" s="303"/>
      <c r="K85" s="303"/>
      <c r="L85" s="297"/>
      <c r="M85" s="297"/>
      <c r="N85" s="297"/>
      <c r="O85" s="297"/>
      <c r="P85" s="297"/>
      <c r="S85"/>
      <c r="T85"/>
      <c r="U85"/>
      <c r="W85"/>
      <c r="Z85"/>
    </row>
    <row r="86" spans="1:26">
      <c r="B86" s="300"/>
      <c r="C86" s="301"/>
      <c r="D86" s="302"/>
      <c r="E86" s="301"/>
      <c r="F86" s="301"/>
      <c r="G86" s="302"/>
      <c r="H86" s="301"/>
      <c r="I86" s="301"/>
      <c r="J86" s="303"/>
      <c r="K86" s="303"/>
      <c r="L86" s="297"/>
      <c r="M86" s="297"/>
      <c r="N86" s="297"/>
      <c r="O86" s="297"/>
      <c r="P86" s="297"/>
      <c r="S86"/>
      <c r="T86"/>
      <c r="U86"/>
      <c r="W86"/>
      <c r="Z86"/>
    </row>
    <row r="87" spans="1:26">
      <c r="B87" s="300"/>
      <c r="C87" s="301"/>
      <c r="D87" s="302"/>
      <c r="E87" s="301"/>
      <c r="F87" s="301"/>
      <c r="G87" s="302"/>
      <c r="H87" s="301"/>
      <c r="I87" s="301"/>
      <c r="J87" s="303"/>
      <c r="K87" s="303"/>
      <c r="L87" s="297"/>
      <c r="M87" s="297"/>
      <c r="N87" s="297"/>
      <c r="O87" s="297"/>
      <c r="P87" s="297"/>
      <c r="S87"/>
      <c r="T87"/>
      <c r="U87"/>
      <c r="W87"/>
      <c r="Z87"/>
    </row>
    <row r="88" spans="1:26">
      <c r="B88" s="300"/>
      <c r="C88" s="301"/>
      <c r="D88" s="302"/>
      <c r="E88" s="301"/>
      <c r="F88" s="301"/>
      <c r="G88" s="302"/>
      <c r="H88" s="301"/>
      <c r="I88" s="301"/>
      <c r="J88" s="303"/>
      <c r="K88" s="303"/>
      <c r="L88" s="297"/>
      <c r="M88" s="297"/>
      <c r="N88" s="297"/>
      <c r="O88" s="297"/>
      <c r="P88" s="297"/>
      <c r="S88"/>
      <c r="T88"/>
      <c r="U88"/>
      <c r="W88"/>
      <c r="Z88"/>
    </row>
    <row r="89" spans="1:26">
      <c r="B89" s="300"/>
      <c r="C89" s="301"/>
      <c r="D89" s="302"/>
      <c r="E89" s="301"/>
      <c r="F89" s="301"/>
      <c r="G89" s="302"/>
      <c r="H89" s="301"/>
      <c r="I89" s="301"/>
      <c r="J89" s="303"/>
      <c r="K89" s="303"/>
      <c r="L89" s="297"/>
      <c r="M89" s="297"/>
      <c r="N89" s="297"/>
      <c r="O89" s="297"/>
      <c r="P89" s="297"/>
      <c r="S89"/>
      <c r="T89"/>
      <c r="U89"/>
      <c r="W89"/>
      <c r="Z89"/>
    </row>
    <row r="90" spans="1:26">
      <c r="B90" s="300"/>
      <c r="C90" s="301"/>
      <c r="D90" s="302"/>
      <c r="E90" s="301"/>
      <c r="F90" s="301"/>
      <c r="G90" s="302"/>
      <c r="H90" s="301"/>
      <c r="I90" s="301"/>
      <c r="J90" s="303"/>
      <c r="K90" s="303"/>
      <c r="L90" s="297"/>
      <c r="M90" s="297"/>
      <c r="N90" s="297"/>
      <c r="O90" s="297"/>
      <c r="P90" s="297"/>
      <c r="S90"/>
      <c r="T90"/>
      <c r="U90"/>
      <c r="W90"/>
      <c r="Z90"/>
    </row>
    <row r="91" spans="1:26">
      <c r="B91" s="300"/>
      <c r="C91" s="301"/>
      <c r="D91" s="302"/>
      <c r="E91" s="301"/>
      <c r="F91" s="301"/>
      <c r="G91" s="302"/>
      <c r="H91" s="301"/>
      <c r="I91" s="301"/>
      <c r="J91" s="303"/>
      <c r="K91" s="303"/>
      <c r="L91" s="297"/>
      <c r="M91" s="297"/>
      <c r="N91" s="297"/>
      <c r="O91" s="297"/>
      <c r="P91" s="297"/>
      <c r="S91"/>
      <c r="T91"/>
      <c r="U91"/>
      <c r="W91"/>
      <c r="Z91"/>
    </row>
    <row r="92" spans="1:26">
      <c r="B92" s="300"/>
      <c r="C92" s="301"/>
      <c r="D92" s="302"/>
      <c r="E92" s="301"/>
      <c r="F92" s="301"/>
      <c r="G92" s="302"/>
      <c r="H92" s="301"/>
      <c r="I92" s="301"/>
      <c r="J92" s="303"/>
      <c r="K92" s="303"/>
      <c r="L92" s="297"/>
      <c r="M92" s="297"/>
      <c r="N92" s="297"/>
      <c r="O92" s="297"/>
      <c r="P92" s="297"/>
      <c r="S92"/>
      <c r="T92"/>
      <c r="U92"/>
      <c r="W92"/>
      <c r="Z92"/>
    </row>
    <row r="93" spans="1:26">
      <c r="B93" s="300"/>
      <c r="C93" s="301"/>
      <c r="D93" s="302"/>
      <c r="E93" s="301"/>
      <c r="F93" s="301"/>
      <c r="G93" s="302"/>
      <c r="H93" s="301"/>
      <c r="I93" s="301"/>
      <c r="J93" s="303"/>
      <c r="K93" s="303"/>
      <c r="L93" s="297"/>
      <c r="M93" s="297"/>
      <c r="N93" s="297"/>
      <c r="O93" s="297"/>
      <c r="P93" s="297"/>
      <c r="S93"/>
      <c r="T93"/>
      <c r="U93"/>
      <c r="W93"/>
      <c r="Z93"/>
    </row>
    <row r="94" spans="1:26">
      <c r="B94" s="300"/>
      <c r="C94" s="301"/>
      <c r="D94" s="302"/>
      <c r="E94" s="301"/>
      <c r="F94" s="301"/>
      <c r="G94" s="302"/>
      <c r="H94" s="301"/>
      <c r="I94" s="301"/>
      <c r="J94" s="303"/>
      <c r="K94" s="303"/>
      <c r="L94" s="297"/>
      <c r="M94" s="297"/>
      <c r="N94" s="297"/>
      <c r="O94" s="297"/>
      <c r="P94" s="297"/>
      <c r="S94"/>
      <c r="T94"/>
      <c r="U94"/>
      <c r="W94"/>
      <c r="Z94"/>
    </row>
    <row r="95" spans="1:26">
      <c r="B95" s="300"/>
      <c r="C95" s="301"/>
      <c r="D95" s="302"/>
      <c r="E95" s="301"/>
      <c r="F95" s="301"/>
      <c r="G95" s="302"/>
      <c r="H95" s="301"/>
      <c r="I95" s="301"/>
      <c r="J95" s="303"/>
      <c r="K95" s="303"/>
      <c r="L95" s="297"/>
      <c r="M95" s="297"/>
      <c r="N95" s="297"/>
      <c r="O95" s="297"/>
      <c r="P95" s="297"/>
      <c r="W95"/>
      <c r="Z95"/>
    </row>
    <row r="96" spans="1:26">
      <c r="B96" s="300"/>
      <c r="C96" s="301"/>
      <c r="D96" s="302"/>
      <c r="E96" s="301"/>
      <c r="F96" s="301"/>
      <c r="G96" s="302"/>
      <c r="H96" s="301"/>
      <c r="I96" s="301"/>
      <c r="J96" s="303"/>
      <c r="K96" s="303"/>
      <c r="L96" s="297"/>
      <c r="M96" s="297"/>
      <c r="N96" s="297"/>
      <c r="O96" s="297"/>
      <c r="P96" s="297"/>
      <c r="W96"/>
      <c r="Z96"/>
    </row>
    <row r="97" spans="2:26">
      <c r="B97" s="300"/>
      <c r="C97" s="301"/>
      <c r="D97" s="302"/>
      <c r="E97" s="301"/>
      <c r="F97" s="301"/>
      <c r="G97" s="302"/>
      <c r="H97" s="301"/>
      <c r="I97" s="301"/>
      <c r="J97" s="303"/>
      <c r="K97" s="303"/>
      <c r="L97" s="297"/>
      <c r="M97" s="297"/>
      <c r="N97" s="297"/>
      <c r="O97" s="297"/>
      <c r="P97" s="297"/>
      <c r="W97"/>
      <c r="Z97"/>
    </row>
    <row r="98" spans="2:26">
      <c r="B98" s="300"/>
      <c r="C98" s="301"/>
      <c r="D98" s="302"/>
      <c r="E98" s="301"/>
      <c r="F98" s="301"/>
      <c r="G98" s="302"/>
      <c r="H98" s="301"/>
      <c r="I98" s="301"/>
      <c r="J98" s="303"/>
      <c r="K98" s="303"/>
      <c r="L98" s="297"/>
      <c r="M98" s="297"/>
      <c r="N98" s="297"/>
      <c r="O98" s="297"/>
      <c r="P98" s="297"/>
      <c r="W98"/>
      <c r="Z98"/>
    </row>
    <row r="99" spans="2:26">
      <c r="B99" s="300"/>
      <c r="C99" s="301"/>
      <c r="D99" s="302"/>
      <c r="E99" s="301"/>
      <c r="F99" s="301"/>
      <c r="G99" s="302"/>
      <c r="H99" s="301"/>
      <c r="I99" s="301"/>
      <c r="J99" s="303"/>
      <c r="K99" s="303"/>
      <c r="L99" s="297"/>
      <c r="M99" s="297"/>
      <c r="N99" s="297"/>
      <c r="O99" s="297"/>
      <c r="P99" s="297"/>
      <c r="W99"/>
      <c r="Z99"/>
    </row>
    <row r="100" spans="2:26">
      <c r="B100" s="300"/>
      <c r="C100" s="301"/>
      <c r="D100" s="302"/>
      <c r="E100" s="301"/>
      <c r="F100" s="301"/>
      <c r="G100" s="302"/>
      <c r="H100" s="301"/>
      <c r="I100" s="301"/>
      <c r="J100" s="303"/>
      <c r="K100" s="303"/>
      <c r="L100" s="297"/>
      <c r="M100" s="297"/>
      <c r="N100" s="297"/>
      <c r="O100" s="297"/>
      <c r="P100" s="297"/>
      <c r="Q100"/>
      <c r="R100" s="210"/>
      <c r="T100"/>
      <c r="U100"/>
      <c r="W100"/>
      <c r="Z100"/>
    </row>
    <row r="101" spans="2:26">
      <c r="B101" s="300"/>
      <c r="C101" s="301"/>
      <c r="D101" s="302"/>
      <c r="E101" s="301"/>
      <c r="F101" s="301"/>
      <c r="G101" s="302"/>
      <c r="H101" s="301"/>
      <c r="I101" s="301"/>
      <c r="J101" s="303"/>
      <c r="K101" s="303"/>
      <c r="L101" s="297"/>
      <c r="M101" s="297"/>
      <c r="N101" s="297"/>
      <c r="O101" s="297"/>
      <c r="P101" s="297"/>
      <c r="Q101"/>
      <c r="R101" s="210"/>
      <c r="T101"/>
      <c r="U101"/>
      <c r="W101"/>
      <c r="Z101"/>
    </row>
    <row r="102" spans="2:26">
      <c r="B102" s="300"/>
      <c r="C102" s="301"/>
      <c r="D102" s="302"/>
      <c r="E102" s="301"/>
      <c r="F102" s="301"/>
      <c r="G102" s="302"/>
      <c r="H102" s="301"/>
      <c r="I102" s="301"/>
      <c r="J102" s="303"/>
      <c r="K102" s="303"/>
      <c r="L102" s="297"/>
      <c r="M102" s="297"/>
      <c r="N102" s="297"/>
      <c r="O102" s="297"/>
      <c r="P102" s="297"/>
      <c r="Q102"/>
      <c r="R102" s="210"/>
      <c r="T102"/>
      <c r="U102"/>
      <c r="W102"/>
      <c r="Z102"/>
    </row>
    <row r="103" spans="2:26">
      <c r="B103" s="300"/>
      <c r="C103" s="301"/>
      <c r="D103" s="302"/>
      <c r="E103" s="301"/>
      <c r="F103" s="301"/>
      <c r="G103" s="302"/>
      <c r="H103" s="301"/>
      <c r="I103" s="301"/>
      <c r="J103" s="303"/>
      <c r="K103" s="303"/>
      <c r="L103" s="297"/>
      <c r="M103" s="297"/>
      <c r="N103" s="297"/>
      <c r="O103" s="297"/>
      <c r="P103" s="297"/>
      <c r="Q103"/>
      <c r="R103" s="210"/>
      <c r="T103"/>
      <c r="U103"/>
      <c r="W103"/>
      <c r="Z103"/>
    </row>
    <row r="104" spans="2:26">
      <c r="B104" s="300"/>
      <c r="C104" s="301"/>
      <c r="D104" s="302"/>
      <c r="E104" s="301"/>
      <c r="F104" s="301"/>
      <c r="G104" s="302"/>
      <c r="H104" s="301"/>
      <c r="I104" s="301"/>
      <c r="J104" s="303"/>
      <c r="K104" s="303"/>
      <c r="L104" s="297"/>
      <c r="M104" s="297"/>
      <c r="N104" s="297"/>
      <c r="O104" s="297"/>
      <c r="P104" s="297"/>
      <c r="Q104"/>
      <c r="R104" s="210"/>
      <c r="T104"/>
      <c r="U104"/>
      <c r="W104"/>
      <c r="Z104"/>
    </row>
    <row r="105" spans="2:26">
      <c r="B105" s="300"/>
      <c r="C105" s="301"/>
      <c r="D105" s="302"/>
      <c r="E105" s="301"/>
      <c r="F105" s="301"/>
      <c r="G105" s="302"/>
      <c r="H105" s="301"/>
      <c r="I105" s="301"/>
      <c r="J105" s="303"/>
      <c r="K105" s="303"/>
      <c r="L105" s="297"/>
      <c r="M105" s="297"/>
      <c r="N105" s="297"/>
      <c r="O105" s="297"/>
      <c r="P105" s="297"/>
      <c r="Q105"/>
      <c r="R105" s="210"/>
      <c r="T105"/>
      <c r="U105"/>
      <c r="W105"/>
      <c r="Z105"/>
    </row>
    <row r="106" spans="2:26">
      <c r="B106" s="297"/>
      <c r="C106" s="297"/>
      <c r="D106" s="304"/>
      <c r="E106" s="304"/>
      <c r="F106" s="304"/>
      <c r="G106" s="304"/>
      <c r="H106" s="304"/>
      <c r="I106" s="304"/>
      <c r="J106" s="304"/>
      <c r="K106" s="304"/>
      <c r="L106" s="297"/>
      <c r="M106" s="297"/>
      <c r="N106" s="297"/>
      <c r="O106" s="297"/>
      <c r="P106" s="297"/>
      <c r="Q106"/>
      <c r="R106" s="210"/>
      <c r="T106"/>
      <c r="U106"/>
      <c r="W106"/>
      <c r="Z106"/>
    </row>
    <row r="107" spans="2:26">
      <c r="B107" s="305"/>
      <c r="C107" s="306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/>
      <c r="R107" s="210"/>
      <c r="T107"/>
      <c r="U107"/>
      <c r="W107"/>
      <c r="Z107"/>
    </row>
    <row r="108" spans="2:26"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/>
      <c r="R108" s="210"/>
      <c r="T108"/>
      <c r="U108"/>
      <c r="W108"/>
      <c r="Z108"/>
    </row>
    <row r="109" spans="2:26"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30"/>
      <c r="N109" s="309"/>
      <c r="O109" s="297"/>
      <c r="P109" s="230"/>
      <c r="Q109"/>
      <c r="R109" s="210"/>
      <c r="T109"/>
      <c r="U109"/>
      <c r="W109"/>
      <c r="Z109"/>
    </row>
    <row r="110" spans="2:26"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30"/>
      <c r="N110" s="309"/>
      <c r="O110" s="297"/>
      <c r="P110" s="230"/>
      <c r="Q110"/>
      <c r="R110" s="210"/>
      <c r="T110"/>
      <c r="U110"/>
      <c r="W110"/>
      <c r="Z110"/>
    </row>
    <row r="111" spans="2:26"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/>
      <c r="R111" s="210"/>
      <c r="T111"/>
      <c r="U111"/>
    </row>
    <row r="112" spans="2:26">
      <c r="B112" s="311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/>
      <c r="R112" s="210"/>
      <c r="T112"/>
      <c r="U112"/>
    </row>
    <row r="113" spans="2:21"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/>
      <c r="R113" s="210"/>
      <c r="T113"/>
      <c r="U113"/>
    </row>
    <row r="114" spans="2:21"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/>
      <c r="R114" s="210"/>
      <c r="T114"/>
      <c r="U114"/>
    </row>
    <row r="115" spans="2:21"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/>
      <c r="R115" s="210"/>
      <c r="T115"/>
      <c r="U115"/>
    </row>
    <row r="116" spans="2:21"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/>
      <c r="R116" s="210"/>
      <c r="T116"/>
      <c r="U116"/>
    </row>
    <row r="117" spans="2:21"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/>
      <c r="R117" s="210"/>
      <c r="T117"/>
      <c r="U117"/>
    </row>
    <row r="118" spans="2:21"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/>
      <c r="R118" s="210"/>
      <c r="T118"/>
      <c r="U118"/>
    </row>
    <row r="119" spans="2:21"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/>
      <c r="R119" s="210"/>
      <c r="T119"/>
      <c r="U119"/>
    </row>
    <row r="120" spans="2:2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/>
      <c r="R120" s="210"/>
      <c r="T120"/>
      <c r="U120"/>
    </row>
    <row r="121" spans="2:21"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/>
      <c r="R121" s="210"/>
      <c r="T121"/>
      <c r="U121"/>
    </row>
    <row r="122" spans="2:21">
      <c r="B122" s="311"/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/>
      <c r="R122" s="210"/>
      <c r="T122"/>
      <c r="U122"/>
    </row>
    <row r="123" spans="2:21">
      <c r="L123" s="297"/>
      <c r="M123" s="297"/>
      <c r="N123" s="297"/>
      <c r="O123" s="297"/>
      <c r="P123" s="297"/>
      <c r="Q123"/>
      <c r="R123" s="210"/>
      <c r="T123"/>
      <c r="U123"/>
    </row>
    <row r="124" spans="2:21">
      <c r="L124" s="297"/>
      <c r="M124" s="297"/>
      <c r="N124" s="297"/>
      <c r="O124" s="297"/>
      <c r="P124" s="297"/>
    </row>
    <row r="125" spans="2:21">
      <c r="L125" s="297"/>
      <c r="M125" s="297"/>
      <c r="N125" s="297"/>
      <c r="O125" s="297"/>
      <c r="P125" s="297"/>
    </row>
    <row r="126" spans="2:21">
      <c r="L126" s="297"/>
      <c r="M126" s="297"/>
      <c r="N126" s="297"/>
      <c r="O126" s="297"/>
      <c r="P126" s="297"/>
    </row>
    <row r="127" spans="2:21">
      <c r="L127" s="297"/>
      <c r="M127" s="297"/>
      <c r="N127" s="297"/>
      <c r="O127" s="297"/>
      <c r="P127" s="297"/>
    </row>
    <row r="132" spans="2:2">
      <c r="B132" s="7"/>
    </row>
    <row r="142" spans="2:2">
      <c r="B142" s="7"/>
    </row>
    <row r="152" spans="2:2">
      <c r="B152" s="7"/>
    </row>
    <row r="162" spans="2:2">
      <c r="B162" s="7"/>
    </row>
    <row r="172" spans="2:2">
      <c r="B172" s="7"/>
    </row>
    <row r="182" spans="2:2">
      <c r="B182" s="7"/>
    </row>
    <row r="192" spans="2:2">
      <c r="B192" s="7"/>
    </row>
    <row r="202" spans="2:2">
      <c r="B202" s="7"/>
    </row>
    <row r="212" spans="2:2">
      <c r="B212" s="7"/>
    </row>
    <row r="222" spans="2:2">
      <c r="B222" s="7"/>
    </row>
    <row r="232" spans="2:2">
      <c r="B232" s="7"/>
    </row>
    <row r="242" spans="2:2">
      <c r="B242" s="7"/>
    </row>
    <row r="252" spans="2:2">
      <c r="B252" s="7"/>
    </row>
    <row r="262" spans="2:2">
      <c r="B262" s="7"/>
    </row>
    <row r="272" spans="2:2">
      <c r="B272" s="7"/>
    </row>
    <row r="282" spans="2:2">
      <c r="B282" s="7"/>
    </row>
    <row r="292" spans="2:2">
      <c r="B292" s="7"/>
    </row>
    <row r="302" spans="2:2">
      <c r="B302" s="7"/>
    </row>
    <row r="312" spans="2:2">
      <c r="B312" s="7"/>
    </row>
    <row r="322" spans="2:2">
      <c r="B322" s="7"/>
    </row>
    <row r="332" spans="2:2">
      <c r="B332" s="7"/>
    </row>
    <row r="342" spans="2:2">
      <c r="B342" s="7"/>
    </row>
    <row r="352" spans="2:2">
      <c r="B352" s="7"/>
    </row>
    <row r="362" spans="2:2">
      <c r="B362" s="7"/>
    </row>
    <row r="372" spans="2:2">
      <c r="B372" s="7"/>
    </row>
    <row r="382" spans="2:2">
      <c r="B382" s="7"/>
    </row>
    <row r="392" spans="2:2">
      <c r="B392" s="7"/>
    </row>
  </sheetData>
  <mergeCells count="2">
    <mergeCell ref="B3:K3"/>
    <mergeCell ref="B4:K4"/>
  </mergeCells>
  <phoneticPr fontId="10" type="noConversion"/>
  <pageMargins left="0.75" right="0.5" top="0.25" bottom="0.25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V46"/>
  <sheetViews>
    <sheetView topLeftCell="A4" zoomScaleNormal="100" workbookViewId="0">
      <selection activeCell="L24" sqref="L24"/>
    </sheetView>
  </sheetViews>
  <sheetFormatPr defaultRowHeight="12.75"/>
  <cols>
    <col min="2" max="13" width="8.83203125" customWidth="1"/>
    <col min="15" max="15" width="16.6640625" bestFit="1" customWidth="1"/>
    <col min="16" max="17" width="11.83203125" customWidth="1"/>
    <col min="18" max="18" width="10.83203125" customWidth="1"/>
    <col min="19" max="19" width="9.33203125" customWidth="1"/>
  </cols>
  <sheetData>
    <row r="2" spans="2:19" ht="14.1" customHeight="1">
      <c r="R2" s="29"/>
      <c r="S2" s="29"/>
    </row>
    <row r="3" spans="2:19" ht="14.1" customHeight="1">
      <c r="B3" s="32" t="s">
        <v>185</v>
      </c>
      <c r="R3" s="29"/>
      <c r="S3" s="29"/>
    </row>
    <row r="4" spans="2:19" ht="14.1" customHeight="1">
      <c r="R4" s="29"/>
      <c r="S4" s="29"/>
    </row>
    <row r="5" spans="2:19" ht="14.1" customHeight="1">
      <c r="B5" s="185" t="s">
        <v>334</v>
      </c>
      <c r="C5" s="29">
        <v>200</v>
      </c>
      <c r="D5" s="29">
        <v>180</v>
      </c>
      <c r="E5" s="29">
        <v>160</v>
      </c>
      <c r="F5" s="29">
        <v>140</v>
      </c>
      <c r="G5" s="29">
        <v>120</v>
      </c>
      <c r="H5" s="29">
        <v>100</v>
      </c>
      <c r="I5" s="29">
        <v>80</v>
      </c>
      <c r="J5" s="29">
        <v>60</v>
      </c>
      <c r="K5" s="29">
        <v>40</v>
      </c>
      <c r="L5" s="29">
        <v>20</v>
      </c>
      <c r="M5" s="29">
        <v>0</v>
      </c>
      <c r="R5" s="29"/>
      <c r="S5" s="29"/>
    </row>
    <row r="6" spans="2:19" ht="14.1" customHeight="1">
      <c r="B6" s="185" t="s">
        <v>183</v>
      </c>
      <c r="C6" s="184">
        <v>17.95</v>
      </c>
      <c r="D6" s="184">
        <v>17.98</v>
      </c>
      <c r="E6" s="184">
        <v>18</v>
      </c>
      <c r="F6" s="184">
        <v>18.02</v>
      </c>
      <c r="G6" s="184">
        <v>18.04</v>
      </c>
      <c r="H6" s="184">
        <v>18.059999999999999</v>
      </c>
      <c r="I6" s="184">
        <v>18.079999999999998</v>
      </c>
      <c r="J6" s="184">
        <v>18.100000000000001</v>
      </c>
      <c r="K6" s="184">
        <v>18.12</v>
      </c>
      <c r="L6" s="184">
        <v>18.14</v>
      </c>
      <c r="M6" s="184">
        <v>18.16</v>
      </c>
      <c r="R6" s="29"/>
      <c r="S6" s="29"/>
    </row>
    <row r="7" spans="2:19">
      <c r="B7" s="185" t="s">
        <v>335</v>
      </c>
      <c r="C7">
        <v>18.03</v>
      </c>
      <c r="D7">
        <v>18.03</v>
      </c>
      <c r="E7">
        <v>18.03</v>
      </c>
      <c r="F7">
        <v>18.03</v>
      </c>
      <c r="G7">
        <v>18.03</v>
      </c>
      <c r="H7">
        <v>18.04</v>
      </c>
      <c r="I7">
        <v>18.04</v>
      </c>
      <c r="J7">
        <v>18.04</v>
      </c>
      <c r="K7">
        <v>18.04</v>
      </c>
      <c r="L7">
        <v>18.04</v>
      </c>
      <c r="M7">
        <v>18.04</v>
      </c>
    </row>
    <row r="8" spans="2:19">
      <c r="B8" s="185" t="s">
        <v>184</v>
      </c>
      <c r="C8" s="184">
        <v>18.100000000000001</v>
      </c>
      <c r="D8" s="184">
        <v>18.079999999999998</v>
      </c>
      <c r="E8" s="184">
        <v>18.07</v>
      </c>
      <c r="F8" s="184">
        <v>18.05</v>
      </c>
      <c r="G8" s="184">
        <v>18.03</v>
      </c>
      <c r="H8" s="184">
        <v>18.010000000000002</v>
      </c>
      <c r="I8" s="184">
        <v>18</v>
      </c>
      <c r="J8" s="184">
        <v>17.98</v>
      </c>
      <c r="K8" s="184">
        <v>17.96</v>
      </c>
      <c r="L8" s="184">
        <v>17.940000000000001</v>
      </c>
      <c r="M8" s="184">
        <v>17.920000000000002</v>
      </c>
    </row>
    <row r="9" spans="2:19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2:19">
      <c r="B10" s="185" t="s">
        <v>334</v>
      </c>
      <c r="C10" s="29">
        <v>200</v>
      </c>
      <c r="D10" s="29">
        <v>180</v>
      </c>
      <c r="E10" s="29">
        <v>160</v>
      </c>
      <c r="F10" s="29">
        <v>140</v>
      </c>
      <c r="G10" s="29">
        <v>120</v>
      </c>
      <c r="H10" s="29">
        <v>100</v>
      </c>
      <c r="I10" s="29">
        <v>80</v>
      </c>
      <c r="J10" s="29">
        <v>60</v>
      </c>
      <c r="K10" s="29">
        <v>40</v>
      </c>
      <c r="L10" s="29">
        <v>20</v>
      </c>
      <c r="M10" s="29">
        <v>0</v>
      </c>
      <c r="R10" s="29"/>
    </row>
    <row r="11" spans="2:19">
      <c r="B11" s="185" t="s">
        <v>183</v>
      </c>
      <c r="C11" s="184">
        <v>19.36</v>
      </c>
      <c r="D11" s="184">
        <v>19.38</v>
      </c>
      <c r="E11" s="184">
        <v>19.399999999999999</v>
      </c>
      <c r="F11" s="184">
        <v>19.420000000000002</v>
      </c>
      <c r="G11" s="184">
        <v>19.440000000000001</v>
      </c>
      <c r="H11" s="184">
        <v>19.46</v>
      </c>
      <c r="I11" s="184">
        <v>19.48</v>
      </c>
      <c r="J11" s="184">
        <v>19.5</v>
      </c>
      <c r="K11" s="184">
        <v>19.510000000000002</v>
      </c>
      <c r="L11" s="184">
        <v>19.53</v>
      </c>
      <c r="M11" s="184">
        <v>19.55</v>
      </c>
      <c r="R11" s="29"/>
    </row>
    <row r="12" spans="2:19">
      <c r="B12" s="185" t="s">
        <v>335</v>
      </c>
      <c r="C12">
        <v>19.43</v>
      </c>
      <c r="D12">
        <v>19.43</v>
      </c>
      <c r="E12">
        <v>19.43</v>
      </c>
      <c r="F12">
        <v>19.43</v>
      </c>
      <c r="G12">
        <v>19.440000000000001</v>
      </c>
      <c r="H12">
        <v>19.43</v>
      </c>
      <c r="I12">
        <v>19.43</v>
      </c>
      <c r="J12">
        <v>19.43</v>
      </c>
      <c r="K12">
        <v>19.43</v>
      </c>
      <c r="L12">
        <v>19.43</v>
      </c>
      <c r="M12">
        <v>19.440000000000001</v>
      </c>
      <c r="R12" s="29"/>
    </row>
    <row r="13" spans="2:19">
      <c r="B13" s="185" t="s">
        <v>184</v>
      </c>
      <c r="C13" s="184">
        <v>19.5</v>
      </c>
      <c r="D13" s="184">
        <v>19.48</v>
      </c>
      <c r="E13" s="184">
        <v>19.46</v>
      </c>
      <c r="F13" s="184">
        <v>19.45</v>
      </c>
      <c r="G13" s="184">
        <v>19.43</v>
      </c>
      <c r="H13" s="184">
        <v>19.41</v>
      </c>
      <c r="I13" s="184">
        <v>19.399999999999999</v>
      </c>
      <c r="J13" s="184">
        <v>19.38</v>
      </c>
      <c r="K13" s="184">
        <v>19.36</v>
      </c>
      <c r="L13" s="184">
        <v>19.350000000000001</v>
      </c>
      <c r="M13" s="184">
        <v>19.329999999999998</v>
      </c>
      <c r="R13" s="29"/>
    </row>
    <row r="14" spans="2:19">
      <c r="R14" s="29"/>
    </row>
    <row r="15" spans="2:19">
      <c r="R15" s="29"/>
    </row>
    <row r="16" spans="2:19">
      <c r="R16" s="29"/>
    </row>
    <row r="17" spans="2:18">
      <c r="O17" s="32" t="s">
        <v>339</v>
      </c>
      <c r="R17" s="29"/>
    </row>
    <row r="18" spans="2:18" s="29" customFormat="1" ht="14.1" customHeight="1">
      <c r="B18" s="34" t="s">
        <v>338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2:18" s="29" customFormat="1" ht="14.1" customHeight="1">
      <c r="B19" s="33" t="s">
        <v>33</v>
      </c>
      <c r="C19" s="33">
        <v>100</v>
      </c>
      <c r="D19" s="33">
        <v>90</v>
      </c>
      <c r="E19" s="33">
        <v>80</v>
      </c>
      <c r="F19" s="33">
        <v>70</v>
      </c>
      <c r="G19" s="33">
        <v>60</v>
      </c>
      <c r="H19" s="33">
        <v>50</v>
      </c>
      <c r="I19" s="33">
        <v>40</v>
      </c>
      <c r="J19" s="33">
        <v>30</v>
      </c>
      <c r="K19" s="33">
        <v>20</v>
      </c>
      <c r="L19" s="33">
        <v>10</v>
      </c>
      <c r="M19" s="33">
        <v>0</v>
      </c>
      <c r="O19" s="192" t="s">
        <v>186</v>
      </c>
      <c r="P19" s="187" t="s">
        <v>340</v>
      </c>
      <c r="Q19" s="38"/>
      <c r="R19" s="35"/>
    </row>
    <row r="20" spans="2:18" s="29" customFormat="1" ht="14.1" customHeight="1">
      <c r="B20" s="27" t="s">
        <v>36</v>
      </c>
      <c r="C20" s="15">
        <f>C6-18</f>
        <v>-5.0000000000000711E-2</v>
      </c>
      <c r="D20" s="15">
        <f t="shared" ref="D20:M20" si="0">D6-18</f>
        <v>-1.9999999999999574E-2</v>
      </c>
      <c r="E20" s="15">
        <f t="shared" si="0"/>
        <v>0</v>
      </c>
      <c r="F20" s="15">
        <f t="shared" si="0"/>
        <v>1.9999999999999574E-2</v>
      </c>
      <c r="G20" s="15">
        <f t="shared" si="0"/>
        <v>3.9999999999999147E-2</v>
      </c>
      <c r="H20" s="15">
        <f t="shared" si="0"/>
        <v>5.9999999999998721E-2</v>
      </c>
      <c r="I20" s="15">
        <f t="shared" si="0"/>
        <v>7.9999999999998295E-2</v>
      </c>
      <c r="J20" s="15">
        <f t="shared" si="0"/>
        <v>0.10000000000000142</v>
      </c>
      <c r="K20" s="15">
        <f t="shared" si="0"/>
        <v>0.12000000000000099</v>
      </c>
      <c r="L20" s="15">
        <f t="shared" si="0"/>
        <v>0.14000000000000057</v>
      </c>
      <c r="M20" s="15">
        <f t="shared" si="0"/>
        <v>0.16000000000000014</v>
      </c>
      <c r="O20" s="192" t="s">
        <v>342</v>
      </c>
      <c r="P20" s="187" t="s">
        <v>343</v>
      </c>
      <c r="Q20" s="38"/>
      <c r="R20" s="35"/>
    </row>
    <row r="21" spans="2:18" s="29" customFormat="1" ht="14.1" customHeight="1">
      <c r="B21" s="193" t="s">
        <v>336</v>
      </c>
      <c r="C21" s="15">
        <f t="shared" ref="C21:M22" si="1">C7-18</f>
        <v>3.0000000000001137E-2</v>
      </c>
      <c r="D21" s="15">
        <f t="shared" si="1"/>
        <v>3.0000000000001137E-2</v>
      </c>
      <c r="E21" s="15">
        <f t="shared" si="1"/>
        <v>3.0000000000001137E-2</v>
      </c>
      <c r="F21" s="15">
        <f t="shared" si="1"/>
        <v>3.0000000000001137E-2</v>
      </c>
      <c r="G21" s="15">
        <f t="shared" si="1"/>
        <v>3.0000000000001137E-2</v>
      </c>
      <c r="H21" s="15">
        <f t="shared" si="1"/>
        <v>3.9999999999999147E-2</v>
      </c>
      <c r="I21" s="15">
        <f t="shared" si="1"/>
        <v>3.9999999999999147E-2</v>
      </c>
      <c r="J21" s="15">
        <f t="shared" si="1"/>
        <v>3.9999999999999147E-2</v>
      </c>
      <c r="K21" s="15">
        <f t="shared" si="1"/>
        <v>3.9999999999999147E-2</v>
      </c>
      <c r="L21" s="15">
        <f t="shared" si="1"/>
        <v>3.9999999999999147E-2</v>
      </c>
      <c r="M21" s="15">
        <f t="shared" si="1"/>
        <v>3.9999999999999147E-2</v>
      </c>
      <c r="O21" s="186" t="s">
        <v>187</v>
      </c>
      <c r="P21" s="187" t="s">
        <v>341</v>
      </c>
      <c r="Q21" s="38"/>
      <c r="R21" s="35"/>
    </row>
    <row r="22" spans="2:18" s="29" customFormat="1" ht="14.1" customHeight="1">
      <c r="B22" s="28" t="s">
        <v>32</v>
      </c>
      <c r="C22" s="16">
        <f t="shared" si="1"/>
        <v>0.10000000000000142</v>
      </c>
      <c r="D22" s="16">
        <f t="shared" si="1"/>
        <v>7.9999999999998295E-2</v>
      </c>
      <c r="E22" s="16">
        <f t="shared" si="1"/>
        <v>7.0000000000000284E-2</v>
      </c>
      <c r="F22" s="16">
        <f t="shared" si="1"/>
        <v>5.0000000000000711E-2</v>
      </c>
      <c r="G22" s="16">
        <f t="shared" si="1"/>
        <v>3.0000000000001137E-2</v>
      </c>
      <c r="H22" s="16">
        <f t="shared" si="1"/>
        <v>1.0000000000001563E-2</v>
      </c>
      <c r="I22" s="16">
        <f t="shared" si="1"/>
        <v>0</v>
      </c>
      <c r="J22" s="16">
        <f t="shared" si="1"/>
        <v>-1.9999999999999574E-2</v>
      </c>
      <c r="K22" s="16">
        <f t="shared" si="1"/>
        <v>-3.9999999999999147E-2</v>
      </c>
      <c r="L22" s="16">
        <f t="shared" si="1"/>
        <v>-5.9999999999998721E-2</v>
      </c>
      <c r="M22" s="16">
        <f t="shared" si="1"/>
        <v>-7.9999999999998295E-2</v>
      </c>
      <c r="O22" s="35"/>
      <c r="P22" s="35"/>
      <c r="Q22" s="35"/>
      <c r="R22" s="35"/>
    </row>
    <row r="23" spans="2:18" s="29" customFormat="1" ht="14.1" customHeight="1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O23" s="36"/>
      <c r="P23" s="595" t="s">
        <v>36</v>
      </c>
      <c r="Q23" s="595" t="s">
        <v>336</v>
      </c>
      <c r="R23" s="25" t="s">
        <v>32</v>
      </c>
    </row>
    <row r="24" spans="2:18" s="29" customFormat="1" ht="14.1" customHeight="1">
      <c r="B24" s="34" t="s">
        <v>337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O24" s="37"/>
      <c r="P24" s="18" t="s">
        <v>322</v>
      </c>
      <c r="Q24" s="18" t="s">
        <v>322</v>
      </c>
      <c r="R24" s="596" t="s">
        <v>322</v>
      </c>
    </row>
    <row r="25" spans="2:18" s="29" customFormat="1" ht="14.1" customHeight="1">
      <c r="B25" s="33" t="s">
        <v>33</v>
      </c>
      <c r="C25" s="33">
        <v>100</v>
      </c>
      <c r="D25" s="33">
        <v>90</v>
      </c>
      <c r="E25" s="33">
        <v>80</v>
      </c>
      <c r="F25" s="33">
        <v>70</v>
      </c>
      <c r="G25" s="33">
        <v>60</v>
      </c>
      <c r="H25" s="33">
        <v>50</v>
      </c>
      <c r="I25" s="33">
        <v>40</v>
      </c>
      <c r="J25" s="33">
        <v>30</v>
      </c>
      <c r="K25" s="33">
        <v>20</v>
      </c>
      <c r="L25" s="33">
        <v>10</v>
      </c>
      <c r="M25" s="33">
        <v>0</v>
      </c>
      <c r="O25" s="39" t="s">
        <v>37</v>
      </c>
      <c r="P25" s="188">
        <v>19</v>
      </c>
      <c r="Q25" s="188">
        <v>19</v>
      </c>
      <c r="R25" s="189">
        <v>19</v>
      </c>
    </row>
    <row r="26" spans="2:18" s="29" customFormat="1" ht="14.1" customHeight="1">
      <c r="B26" s="27" t="s">
        <v>36</v>
      </c>
      <c r="C26" s="15">
        <f>C11-19.4</f>
        <v>-3.9999999999999147E-2</v>
      </c>
      <c r="D26" s="15">
        <f t="shared" ref="D26:M26" si="2">D11-19.4</f>
        <v>-1.9999999999999574E-2</v>
      </c>
      <c r="E26" s="15">
        <f t="shared" si="2"/>
        <v>0</v>
      </c>
      <c r="F26" s="15">
        <f t="shared" si="2"/>
        <v>2.0000000000003126E-2</v>
      </c>
      <c r="G26" s="15">
        <f t="shared" si="2"/>
        <v>4.00000000000027E-2</v>
      </c>
      <c r="H26" s="15">
        <f t="shared" si="2"/>
        <v>6.0000000000002274E-2</v>
      </c>
      <c r="I26" s="15">
        <f t="shared" si="2"/>
        <v>8.0000000000001847E-2</v>
      </c>
      <c r="J26" s="15">
        <f t="shared" si="2"/>
        <v>0.10000000000000142</v>
      </c>
      <c r="K26" s="15">
        <f t="shared" si="2"/>
        <v>0.11000000000000298</v>
      </c>
      <c r="L26" s="15">
        <f t="shared" si="2"/>
        <v>0.13000000000000256</v>
      </c>
      <c r="M26" s="15">
        <f t="shared" si="2"/>
        <v>0.15000000000000213</v>
      </c>
      <c r="O26" s="40" t="s">
        <v>90</v>
      </c>
      <c r="P26" s="188">
        <f>(15/10)*0.02</f>
        <v>0.03</v>
      </c>
      <c r="Q26" s="188">
        <f>(15/10)*0.03</f>
        <v>4.4999999999999998E-2</v>
      </c>
      <c r="R26" s="189">
        <f>(15/10)*(0.05)</f>
        <v>7.5000000000000011E-2</v>
      </c>
    </row>
    <row r="27" spans="2:18" s="29" customFormat="1" ht="14.1" customHeight="1">
      <c r="B27" s="193" t="s">
        <v>336</v>
      </c>
      <c r="C27" s="15">
        <f t="shared" ref="C27:M28" si="3">C12-19.4</f>
        <v>3.0000000000001137E-2</v>
      </c>
      <c r="D27" s="15">
        <f t="shared" si="3"/>
        <v>3.0000000000001137E-2</v>
      </c>
      <c r="E27" s="15">
        <f t="shared" si="3"/>
        <v>3.0000000000001137E-2</v>
      </c>
      <c r="F27" s="15">
        <f t="shared" si="3"/>
        <v>3.0000000000001137E-2</v>
      </c>
      <c r="G27" s="15">
        <f t="shared" si="3"/>
        <v>4.00000000000027E-2</v>
      </c>
      <c r="H27" s="15">
        <f t="shared" si="3"/>
        <v>3.0000000000001137E-2</v>
      </c>
      <c r="I27" s="15">
        <f t="shared" si="3"/>
        <v>3.0000000000001137E-2</v>
      </c>
      <c r="J27" s="15">
        <f t="shared" si="3"/>
        <v>3.0000000000001137E-2</v>
      </c>
      <c r="K27" s="15">
        <f t="shared" si="3"/>
        <v>3.0000000000001137E-2</v>
      </c>
      <c r="L27" s="15">
        <f t="shared" si="3"/>
        <v>3.0000000000001137E-2</v>
      </c>
      <c r="M27" s="15">
        <f t="shared" si="3"/>
        <v>4.00000000000027E-2</v>
      </c>
      <c r="O27" s="41" t="s">
        <v>38</v>
      </c>
      <c r="P27" s="190">
        <f>SUM(P25:P26)</f>
        <v>19.03</v>
      </c>
      <c r="Q27" s="190">
        <f>SUM(Q25:Q26)</f>
        <v>19.045000000000002</v>
      </c>
      <c r="R27" s="191">
        <f>SUM(R25:R26)</f>
        <v>19.074999999999999</v>
      </c>
    </row>
    <row r="28" spans="2:18" s="29" customFormat="1" ht="14.1" customHeight="1">
      <c r="B28" s="28" t="s">
        <v>32</v>
      </c>
      <c r="C28" s="16">
        <f t="shared" si="3"/>
        <v>0.10000000000000142</v>
      </c>
      <c r="D28" s="16">
        <f t="shared" si="3"/>
        <v>8.0000000000001847E-2</v>
      </c>
      <c r="E28" s="16">
        <f t="shared" si="3"/>
        <v>6.0000000000002274E-2</v>
      </c>
      <c r="F28" s="16">
        <f t="shared" si="3"/>
        <v>5.0000000000000711E-2</v>
      </c>
      <c r="G28" s="16">
        <f t="shared" si="3"/>
        <v>3.0000000000001137E-2</v>
      </c>
      <c r="H28" s="16">
        <f t="shared" si="3"/>
        <v>1.0000000000001563E-2</v>
      </c>
      <c r="I28" s="16">
        <f t="shared" si="3"/>
        <v>0</v>
      </c>
      <c r="J28" s="16">
        <f t="shared" si="3"/>
        <v>-1.9999999999999574E-2</v>
      </c>
      <c r="K28" s="16">
        <f t="shared" si="3"/>
        <v>-3.9999999999999147E-2</v>
      </c>
      <c r="L28" s="16">
        <f t="shared" si="3"/>
        <v>-4.9999999999997158E-2</v>
      </c>
      <c r="M28" s="16">
        <f t="shared" si="3"/>
        <v>-7.0000000000000284E-2</v>
      </c>
      <c r="R28" s="35"/>
    </row>
    <row r="34" spans="16:22">
      <c r="Q34" s="629">
        <v>5.8</v>
      </c>
      <c r="R34" s="629"/>
      <c r="S34" s="629">
        <v>6.1</v>
      </c>
      <c r="T34" s="629"/>
    </row>
    <row r="35" spans="16:22">
      <c r="Q35" t="s">
        <v>34</v>
      </c>
      <c r="S35" t="s">
        <v>35</v>
      </c>
      <c r="T35" t="s">
        <v>34</v>
      </c>
      <c r="V35" t="s">
        <v>35</v>
      </c>
    </row>
    <row r="36" spans="16:22">
      <c r="P36">
        <f t="array" ref="P36:P46">TRANSPOSE(C19:M19)</f>
        <v>100</v>
      </c>
      <c r="Q36">
        <f t="array" ref="Q36:Q46">TRANSPOSE(C20:M20)</f>
        <v>-5.0000000000000711E-2</v>
      </c>
      <c r="R36">
        <f t="array" ref="R36:R46">TRANSPOSE(C21:M21)</f>
        <v>3.0000000000001137E-2</v>
      </c>
      <c r="S36">
        <f t="array" ref="S36:S46">TRANSPOSE(C22:M22)</f>
        <v>0.10000000000000142</v>
      </c>
      <c r="T36">
        <f t="array" ref="T36:T46">TRANSPOSE(C26:M26)</f>
        <v>-3.9999999999999147E-2</v>
      </c>
      <c r="U36">
        <f t="array" ref="U36:U46">TRANSPOSE(C27:M27)</f>
        <v>3.0000000000001137E-2</v>
      </c>
      <c r="V36">
        <f t="array" ref="V36:V46">TRANSPOSE(C28:M28)</f>
        <v>0.10000000000000142</v>
      </c>
    </row>
    <row r="37" spans="16:22">
      <c r="P37">
        <v>90</v>
      </c>
      <c r="Q37">
        <v>-1.9999999999999574E-2</v>
      </c>
      <c r="R37">
        <v>3.0000000000001137E-2</v>
      </c>
      <c r="S37">
        <v>7.9999999999998295E-2</v>
      </c>
      <c r="T37">
        <v>-1.9999999999999574E-2</v>
      </c>
      <c r="U37">
        <v>3.0000000000001137E-2</v>
      </c>
      <c r="V37">
        <v>8.0000000000001847E-2</v>
      </c>
    </row>
    <row r="38" spans="16:22">
      <c r="P38">
        <v>80</v>
      </c>
      <c r="Q38">
        <v>0</v>
      </c>
      <c r="R38">
        <v>3.0000000000001137E-2</v>
      </c>
      <c r="S38">
        <v>7.0000000000000284E-2</v>
      </c>
      <c r="T38">
        <v>0</v>
      </c>
      <c r="U38">
        <v>3.0000000000001137E-2</v>
      </c>
      <c r="V38">
        <v>6.0000000000002274E-2</v>
      </c>
    </row>
    <row r="39" spans="16:22">
      <c r="P39">
        <v>70</v>
      </c>
      <c r="Q39">
        <v>1.9999999999999574E-2</v>
      </c>
      <c r="R39">
        <v>3.0000000000001137E-2</v>
      </c>
      <c r="S39">
        <v>5.0000000000000711E-2</v>
      </c>
      <c r="T39">
        <v>2.0000000000003126E-2</v>
      </c>
      <c r="U39">
        <v>3.0000000000001137E-2</v>
      </c>
      <c r="V39">
        <v>5.0000000000000711E-2</v>
      </c>
    </row>
    <row r="40" spans="16:22">
      <c r="P40">
        <v>60</v>
      </c>
      <c r="Q40">
        <v>3.9999999999999147E-2</v>
      </c>
      <c r="R40">
        <v>3.0000000000001137E-2</v>
      </c>
      <c r="S40">
        <v>3.0000000000001137E-2</v>
      </c>
      <c r="T40">
        <v>4.00000000000027E-2</v>
      </c>
      <c r="U40">
        <v>4.00000000000027E-2</v>
      </c>
      <c r="V40">
        <v>3.0000000000001137E-2</v>
      </c>
    </row>
    <row r="41" spans="16:22">
      <c r="P41">
        <v>50</v>
      </c>
      <c r="Q41">
        <v>5.9999999999998721E-2</v>
      </c>
      <c r="R41">
        <v>3.9999999999999147E-2</v>
      </c>
      <c r="S41">
        <v>1.0000000000001563E-2</v>
      </c>
      <c r="T41">
        <v>6.0000000000002274E-2</v>
      </c>
      <c r="U41">
        <v>3.0000000000001137E-2</v>
      </c>
      <c r="V41">
        <v>1.0000000000001563E-2</v>
      </c>
    </row>
    <row r="42" spans="16:22">
      <c r="P42">
        <v>40</v>
      </c>
      <c r="Q42">
        <v>7.9999999999998295E-2</v>
      </c>
      <c r="R42">
        <v>3.9999999999999147E-2</v>
      </c>
      <c r="S42">
        <v>0</v>
      </c>
      <c r="T42">
        <v>8.0000000000001847E-2</v>
      </c>
      <c r="U42">
        <v>3.0000000000001137E-2</v>
      </c>
      <c r="V42">
        <v>0</v>
      </c>
    </row>
    <row r="43" spans="16:22">
      <c r="P43">
        <v>30</v>
      </c>
      <c r="Q43">
        <v>0.10000000000000142</v>
      </c>
      <c r="R43">
        <v>3.9999999999999147E-2</v>
      </c>
      <c r="S43">
        <v>-1.9999999999999574E-2</v>
      </c>
      <c r="T43">
        <v>0.10000000000000142</v>
      </c>
      <c r="U43">
        <v>3.0000000000001137E-2</v>
      </c>
      <c r="V43">
        <v>-1.9999999999999574E-2</v>
      </c>
    </row>
    <row r="44" spans="16:22">
      <c r="P44">
        <v>20</v>
      </c>
      <c r="Q44">
        <v>0.12000000000000099</v>
      </c>
      <c r="R44">
        <v>3.9999999999999147E-2</v>
      </c>
      <c r="S44">
        <v>-3.9999999999999147E-2</v>
      </c>
      <c r="T44">
        <v>0.11000000000000298</v>
      </c>
      <c r="U44">
        <v>3.0000000000001137E-2</v>
      </c>
      <c r="V44">
        <v>-3.9999999999999147E-2</v>
      </c>
    </row>
    <row r="45" spans="16:22">
      <c r="P45">
        <v>10</v>
      </c>
      <c r="Q45">
        <v>0.14000000000000057</v>
      </c>
      <c r="R45">
        <v>3.9999999999999147E-2</v>
      </c>
      <c r="S45">
        <v>-5.9999999999998721E-2</v>
      </c>
      <c r="T45">
        <v>0.13000000000000256</v>
      </c>
      <c r="U45">
        <v>3.0000000000001137E-2</v>
      </c>
      <c r="V45">
        <v>-4.9999999999997158E-2</v>
      </c>
    </row>
    <row r="46" spans="16:22">
      <c r="P46">
        <v>0</v>
      </c>
      <c r="Q46">
        <v>0.16000000000000014</v>
      </c>
      <c r="R46">
        <v>3.9999999999999147E-2</v>
      </c>
      <c r="S46">
        <v>-7.9999999999998295E-2</v>
      </c>
      <c r="T46">
        <v>0.15000000000000213</v>
      </c>
      <c r="U46">
        <v>4.00000000000027E-2</v>
      </c>
      <c r="V46">
        <v>-7.0000000000000284E-2</v>
      </c>
    </row>
  </sheetData>
  <mergeCells count="2">
    <mergeCell ref="Q34:R34"/>
    <mergeCell ref="S34:T34"/>
  </mergeCells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1"/>
  <sheetViews>
    <sheetView zoomScale="85" zoomScaleNormal="85" workbookViewId="0">
      <selection activeCell="E29" sqref="E29"/>
    </sheetView>
  </sheetViews>
  <sheetFormatPr defaultColWidth="10.6640625" defaultRowHeight="15"/>
  <cols>
    <col min="1" max="1" width="12.5" style="365" customWidth="1"/>
    <col min="2" max="2" width="4" style="365" customWidth="1"/>
    <col min="3" max="3" width="31.1640625" style="365" bestFit="1" customWidth="1"/>
    <col min="4" max="11" width="9.83203125" style="365" customWidth="1"/>
    <col min="12" max="13" width="10.33203125" style="365" customWidth="1"/>
    <col min="14" max="14" width="11.33203125" style="365" customWidth="1"/>
    <col min="15" max="28" width="10.33203125" style="365" customWidth="1"/>
    <col min="29" max="16384" width="10.6640625" style="365"/>
  </cols>
  <sheetData>
    <row r="1" spans="1:28">
      <c r="A1" s="371"/>
      <c r="H1" s="374"/>
      <c r="I1" s="369"/>
      <c r="J1" s="369"/>
      <c r="K1" s="367"/>
      <c r="L1" s="367"/>
      <c r="M1" s="368"/>
      <c r="N1" s="367"/>
      <c r="O1" s="367"/>
      <c r="P1" s="367"/>
      <c r="Q1" s="367"/>
      <c r="R1" s="366"/>
    </row>
    <row r="2" spans="1:28">
      <c r="A2" s="371"/>
      <c r="D2" s="630"/>
      <c r="E2" s="631"/>
      <c r="H2" s="374"/>
      <c r="I2" s="369"/>
      <c r="J2" s="369"/>
      <c r="K2" s="369"/>
      <c r="L2" s="367"/>
      <c r="M2" s="367"/>
      <c r="N2" s="368"/>
      <c r="O2" s="367"/>
      <c r="P2" s="367"/>
      <c r="Q2" s="369"/>
      <c r="R2" s="366"/>
      <c r="S2" s="369"/>
      <c r="T2" s="369"/>
      <c r="U2" s="367"/>
      <c r="V2" s="367"/>
      <c r="W2" s="368"/>
      <c r="X2" s="367"/>
      <c r="Y2" s="367"/>
      <c r="Z2" s="367"/>
      <c r="AA2" s="369"/>
      <c r="AB2" s="366"/>
    </row>
    <row r="3" spans="1:28">
      <c r="A3" s="371"/>
      <c r="I3" s="370"/>
      <c r="J3" s="370"/>
      <c r="K3" s="370"/>
      <c r="M3" s="386"/>
      <c r="N3" s="386"/>
      <c r="O3" s="386"/>
      <c r="P3" s="386"/>
      <c r="Q3" s="386"/>
      <c r="R3" s="386"/>
    </row>
    <row r="4" spans="1:28">
      <c r="A4" s="371"/>
      <c r="C4" s="593" t="s">
        <v>530</v>
      </c>
      <c r="I4" s="370"/>
      <c r="J4" s="370"/>
      <c r="K4" s="370"/>
      <c r="L4" s="370"/>
      <c r="M4" s="387"/>
      <c r="N4" s="388"/>
      <c r="O4" s="373"/>
      <c r="P4" s="373"/>
      <c r="Q4" s="373"/>
      <c r="R4" s="387"/>
    </row>
    <row r="5" spans="1:28">
      <c r="A5" s="371"/>
      <c r="B5" s="392"/>
      <c r="C5" s="393"/>
      <c r="D5" s="394" t="s">
        <v>0</v>
      </c>
      <c r="E5" s="394" t="s">
        <v>44</v>
      </c>
      <c r="F5" s="394" t="s">
        <v>118</v>
      </c>
      <c r="G5" s="394" t="s">
        <v>477</v>
      </c>
      <c r="H5" s="394" t="s">
        <v>529</v>
      </c>
      <c r="I5" s="394" t="s">
        <v>478</v>
      </c>
      <c r="J5" s="394" t="s">
        <v>193</v>
      </c>
      <c r="K5" s="394" t="s">
        <v>479</v>
      </c>
      <c r="M5" s="387"/>
      <c r="N5" s="389"/>
      <c r="O5" s="389"/>
      <c r="P5" s="386"/>
      <c r="Q5" s="386"/>
      <c r="R5" s="386"/>
    </row>
    <row r="6" spans="1:28">
      <c r="A6" s="371"/>
      <c r="B6" s="395" t="s">
        <v>480</v>
      </c>
      <c r="C6" s="396"/>
      <c r="D6" s="397" t="s">
        <v>474</v>
      </c>
      <c r="E6" s="397"/>
      <c r="F6" s="397"/>
      <c r="G6" s="397"/>
      <c r="H6" s="397" t="s">
        <v>481</v>
      </c>
      <c r="I6" s="397" t="s">
        <v>482</v>
      </c>
      <c r="J6" s="397"/>
      <c r="K6" s="397" t="s">
        <v>483</v>
      </c>
      <c r="L6" s="370"/>
      <c r="M6" s="387"/>
      <c r="N6" s="389"/>
      <c r="O6" s="389"/>
      <c r="P6" s="386"/>
      <c r="Q6" s="386"/>
      <c r="R6" s="387"/>
    </row>
    <row r="7" spans="1:28">
      <c r="A7" s="371"/>
      <c r="B7" s="398"/>
      <c r="C7" s="399"/>
      <c r="D7" s="400" t="s">
        <v>322</v>
      </c>
      <c r="E7" s="400" t="s">
        <v>322</v>
      </c>
      <c r="F7" s="401" t="s">
        <v>484</v>
      </c>
      <c r="G7" s="400" t="s">
        <v>195</v>
      </c>
      <c r="H7" s="401" t="s">
        <v>322</v>
      </c>
      <c r="I7" s="400" t="s">
        <v>195</v>
      </c>
      <c r="J7" s="400" t="s">
        <v>195</v>
      </c>
      <c r="K7" s="400" t="s">
        <v>195</v>
      </c>
      <c r="L7" s="370"/>
      <c r="M7" s="387"/>
      <c r="N7" s="390"/>
      <c r="O7" s="372"/>
      <c r="P7" s="391"/>
      <c r="Q7" s="386"/>
      <c r="R7" s="387"/>
    </row>
    <row r="8" spans="1:28">
      <c r="A8" s="371"/>
      <c r="B8" s="402" t="s">
        <v>499</v>
      </c>
      <c r="C8" s="403"/>
      <c r="D8" s="404">
        <f>SummaryLoad!U18</f>
        <v>14.615</v>
      </c>
      <c r="E8" s="404">
        <f>SummaryLoad!U24</f>
        <v>-3.0831543826942274</v>
      </c>
      <c r="F8" s="404">
        <f>SummaryLoad!U43</f>
        <v>-12.940197800166374</v>
      </c>
      <c r="G8" s="405">
        <f>SummaryLoad!U17</f>
        <v>2683.23</v>
      </c>
      <c r="H8" s="406">
        <f>SummaryLoad!U35</f>
        <v>24.06</v>
      </c>
      <c r="I8" s="409">
        <v>0</v>
      </c>
      <c r="J8" s="409">
        <v>0</v>
      </c>
      <c r="K8" s="409">
        <v>0</v>
      </c>
      <c r="L8" s="370"/>
      <c r="M8" s="387"/>
      <c r="N8" s="390"/>
      <c r="O8" s="372"/>
      <c r="P8" s="391"/>
      <c r="Q8" s="386"/>
      <c r="R8" s="387"/>
    </row>
    <row r="9" spans="1:28">
      <c r="A9" s="371"/>
      <c r="B9" s="407">
        <v>1</v>
      </c>
      <c r="C9" s="408" t="s">
        <v>485</v>
      </c>
      <c r="D9" s="409">
        <f>SummaryLoad!AG18</f>
        <v>18.847000000000001</v>
      </c>
      <c r="E9" s="409">
        <f>SummaryLoad!AG24</f>
        <v>0.52573821786214403</v>
      </c>
      <c r="F9" s="409">
        <f>SummaryLoad!AG43</f>
        <v>-0.91541584939786724</v>
      </c>
      <c r="G9" s="410">
        <f>SummaryLoad!AG17</f>
        <v>3872.5</v>
      </c>
      <c r="H9" s="583">
        <f>SummaryLoad!AG35</f>
        <v>21.976983628147192</v>
      </c>
      <c r="I9" s="409">
        <f>SUM(TankLoad!Q21:Q36)</f>
        <v>599.05000000000007</v>
      </c>
      <c r="J9" s="409">
        <f>SUM(TankLoad!Q7:Q19)</f>
        <v>246.45999999999998</v>
      </c>
      <c r="K9" s="409">
        <v>100</v>
      </c>
      <c r="L9" s="370"/>
      <c r="M9" s="387"/>
      <c r="N9" s="390"/>
      <c r="O9" s="372"/>
      <c r="P9" s="386"/>
      <c r="Q9" s="386"/>
      <c r="R9" s="387"/>
    </row>
    <row r="10" spans="1:28">
      <c r="A10" s="371"/>
      <c r="B10" s="411">
        <v>2</v>
      </c>
      <c r="C10" s="412" t="s">
        <v>487</v>
      </c>
      <c r="D10" s="413">
        <f>SummaryLoad!AS18</f>
        <v>19.108087999999999</v>
      </c>
      <c r="E10" s="413">
        <f>SummaryLoad!AS24</f>
        <v>0.11757207491337372</v>
      </c>
      <c r="F10" s="413">
        <f>SummaryLoad!AS43</f>
        <v>-1.2933841246738254</v>
      </c>
      <c r="G10" s="414">
        <f>SummaryLoad!AS17</f>
        <v>3949.32</v>
      </c>
      <c r="H10" s="582">
        <f>SummaryLoad!AS35</f>
        <v>22.41119866204815</v>
      </c>
      <c r="I10" s="413">
        <f>I9</f>
        <v>599.05000000000007</v>
      </c>
      <c r="J10" s="413">
        <f>J9</f>
        <v>246.45999999999998</v>
      </c>
      <c r="K10" s="413">
        <v>100</v>
      </c>
      <c r="L10" s="370"/>
      <c r="M10" s="387"/>
      <c r="N10" s="390"/>
      <c r="O10" s="372"/>
      <c r="P10" s="386"/>
      <c r="Q10" s="386"/>
      <c r="R10" s="387"/>
    </row>
    <row r="11" spans="1:28">
      <c r="A11" s="371"/>
      <c r="B11" s="407">
        <v>3</v>
      </c>
      <c r="C11" s="408" t="s">
        <v>486</v>
      </c>
      <c r="D11" s="409">
        <f>SummaryLoad!BE18</f>
        <v>18.4495</v>
      </c>
      <c r="E11" s="409">
        <f>SummaryLoad!BE24</f>
        <v>2.3141644406101922</v>
      </c>
      <c r="F11" s="409">
        <f>SummaryLoad!BE43</f>
        <v>0.7709789717279647</v>
      </c>
      <c r="G11" s="410">
        <f>SummaryLoad!BE17</f>
        <v>3756.0699999999997</v>
      </c>
      <c r="H11" s="583">
        <f>SummaryLoad!BE35</f>
        <v>21.979428924381072</v>
      </c>
      <c r="I11" s="409">
        <f>SUM(TankLoad!AC21:AC36)</f>
        <v>320.90999999999997</v>
      </c>
      <c r="J11" s="409">
        <f>SUM(TankLoad!AC7:AC19)</f>
        <v>432.13</v>
      </c>
      <c r="K11" s="409">
        <v>100</v>
      </c>
      <c r="L11" s="370"/>
      <c r="M11" s="387"/>
      <c r="N11" s="390"/>
      <c r="O11" s="372"/>
      <c r="P11" s="386"/>
      <c r="Q11" s="386"/>
      <c r="R11" s="387"/>
    </row>
    <row r="12" spans="1:28">
      <c r="A12" s="371"/>
      <c r="B12" s="411">
        <v>4</v>
      </c>
      <c r="C12" s="412" t="s">
        <v>488</v>
      </c>
      <c r="D12" s="413">
        <f>SummaryLoad!BQ18</f>
        <v>18.712399999999999</v>
      </c>
      <c r="E12" s="413">
        <f>SummaryLoad!BQ24</f>
        <v>1.8747870158111812</v>
      </c>
      <c r="F12" s="413">
        <f>SummaryLoad!BQ43</f>
        <v>0.63607833525027613</v>
      </c>
      <c r="G12" s="414">
        <f>SummaryLoad!BQ17</f>
        <v>3832.89</v>
      </c>
      <c r="H12" s="582">
        <f>SummaryLoad!BQ35</f>
        <v>22.42678490642831</v>
      </c>
      <c r="I12" s="413">
        <f>I11</f>
        <v>320.90999999999997</v>
      </c>
      <c r="J12" s="413">
        <f>J11</f>
        <v>432.13</v>
      </c>
      <c r="K12" s="413">
        <v>100</v>
      </c>
      <c r="L12" s="370"/>
      <c r="M12" s="387"/>
      <c r="N12" s="390"/>
      <c r="O12" s="372"/>
      <c r="P12" s="386"/>
      <c r="Q12" s="386"/>
      <c r="R12" s="387"/>
    </row>
    <row r="13" spans="1:28">
      <c r="A13" s="371"/>
      <c r="B13" s="407">
        <v>5</v>
      </c>
      <c r="C13" s="408" t="s">
        <v>189</v>
      </c>
      <c r="D13" s="409">
        <f>SummaryLoad!CC18</f>
        <v>17.855</v>
      </c>
      <c r="E13" s="409">
        <f>SummaryLoad!CC24</f>
        <v>0.14099964414326421</v>
      </c>
      <c r="F13" s="409">
        <f>SummaryLoad!CC43</f>
        <v>0.84537325987818157</v>
      </c>
      <c r="G13" s="410">
        <f>SummaryLoad!CC17</f>
        <v>3583.86</v>
      </c>
      <c r="H13" s="583">
        <f>SummaryLoad!CC35</f>
        <v>22.298420194985294</v>
      </c>
      <c r="I13" s="409">
        <f>SUM(TankLoad!AO21:AO36)</f>
        <v>66.819999999999993</v>
      </c>
      <c r="J13" s="409">
        <f>SUM(TankLoad!AO7:AO19)</f>
        <v>530.65</v>
      </c>
      <c r="K13" s="409">
        <v>100</v>
      </c>
      <c r="L13" s="370"/>
      <c r="M13" s="387"/>
      <c r="N13" s="390"/>
      <c r="O13" s="372"/>
      <c r="P13" s="386"/>
      <c r="Q13" s="386"/>
      <c r="R13" s="387"/>
    </row>
    <row r="14" spans="1:28">
      <c r="A14" s="371"/>
      <c r="B14" s="411">
        <v>6</v>
      </c>
      <c r="C14" s="412" t="s">
        <v>489</v>
      </c>
      <c r="D14" s="413">
        <f>SummaryLoad!CO18</f>
        <v>18.121099999999998</v>
      </c>
      <c r="E14" s="413">
        <f>SummaryLoad!CO24</f>
        <v>-0.30704682244862508</v>
      </c>
      <c r="F14" s="413">
        <f>SummaryLoad!CO43</f>
        <v>0.70445533728775567</v>
      </c>
      <c r="G14" s="414">
        <f>SummaryLoad!CO17</f>
        <v>3660.6800000000003</v>
      </c>
      <c r="H14" s="582">
        <f>SummaryLoad!CO35</f>
        <v>22.760127134849263</v>
      </c>
      <c r="I14" s="413">
        <f>I13</f>
        <v>66.819999999999993</v>
      </c>
      <c r="J14" s="413">
        <f>J13</f>
        <v>530.65</v>
      </c>
      <c r="K14" s="413">
        <v>100</v>
      </c>
      <c r="L14" s="370"/>
      <c r="M14" s="387"/>
      <c r="N14" s="390"/>
      <c r="O14" s="372"/>
      <c r="P14" s="372"/>
      <c r="Q14" s="372"/>
      <c r="R14" s="387"/>
    </row>
    <row r="15" spans="1:28">
      <c r="A15" s="371"/>
      <c r="H15" s="386"/>
      <c r="I15" s="387"/>
      <c r="J15" s="387"/>
      <c r="K15" s="387"/>
      <c r="L15" s="370"/>
      <c r="M15" s="387"/>
      <c r="N15" s="390"/>
      <c r="O15" s="372"/>
      <c r="P15" s="372"/>
      <c r="Q15" s="372"/>
      <c r="R15" s="387"/>
    </row>
    <row r="16" spans="1:28">
      <c r="A16" s="371"/>
      <c r="H16" s="386"/>
      <c r="I16" s="387"/>
      <c r="J16" s="387"/>
      <c r="K16" s="387"/>
      <c r="L16" s="420"/>
      <c r="M16" s="420"/>
      <c r="N16" s="390"/>
      <c r="O16" s="372"/>
      <c r="P16" s="372"/>
      <c r="Q16" s="372"/>
      <c r="R16" s="387"/>
      <c r="S16" s="386"/>
      <c r="T16" s="386"/>
      <c r="U16" s="386"/>
    </row>
    <row r="17" spans="1:21">
      <c r="A17" s="371"/>
      <c r="H17" s="386"/>
      <c r="I17" s="387"/>
      <c r="J17" s="387"/>
      <c r="K17" s="387"/>
      <c r="L17" s="420"/>
      <c r="M17" s="420"/>
      <c r="N17" s="390"/>
      <c r="O17" s="372"/>
      <c r="P17" s="372"/>
      <c r="Q17" s="372"/>
      <c r="R17" s="387"/>
      <c r="S17" s="386"/>
      <c r="T17" s="386"/>
      <c r="U17" s="386"/>
    </row>
    <row r="18" spans="1:21">
      <c r="A18" s="371"/>
      <c r="H18" s="386"/>
      <c r="I18" s="387"/>
      <c r="J18" s="387"/>
      <c r="K18" s="387"/>
      <c r="L18" s="420"/>
      <c r="M18" s="420"/>
      <c r="N18" s="390"/>
      <c r="O18" s="372"/>
      <c r="P18" s="372"/>
      <c r="Q18" s="372"/>
      <c r="R18" s="387"/>
      <c r="S18" s="386"/>
      <c r="T18" s="386"/>
      <c r="U18" s="386"/>
    </row>
    <row r="19" spans="1:21">
      <c r="A19" s="371"/>
      <c r="H19" s="386"/>
      <c r="I19" s="387"/>
      <c r="J19" s="387"/>
      <c r="K19" s="387"/>
      <c r="L19" s="420"/>
      <c r="M19" s="421"/>
      <c r="N19" s="422"/>
      <c r="O19" s="420"/>
      <c r="P19" s="420"/>
      <c r="Q19" s="420"/>
      <c r="R19" s="415"/>
      <c r="S19" s="386"/>
      <c r="T19" s="386"/>
      <c r="U19" s="386"/>
    </row>
    <row r="20" spans="1:21">
      <c r="A20" s="371"/>
      <c r="H20" s="386"/>
      <c r="I20" s="387"/>
      <c r="J20" s="387"/>
      <c r="K20" s="387"/>
      <c r="L20" s="388"/>
      <c r="M20" s="388"/>
      <c r="N20" s="390"/>
      <c r="O20" s="390"/>
      <c r="P20" s="390"/>
      <c r="Q20" s="390"/>
      <c r="R20" s="390"/>
      <c r="S20" s="386"/>
      <c r="T20" s="386"/>
      <c r="U20" s="386"/>
    </row>
    <row r="21" spans="1:21">
      <c r="A21" s="371"/>
      <c r="H21" s="386"/>
      <c r="I21" s="387"/>
      <c r="J21" s="387"/>
      <c r="K21" s="387"/>
      <c r="L21" s="373"/>
      <c r="M21" s="388"/>
      <c r="N21" s="390"/>
      <c r="O21" s="390"/>
      <c r="P21" s="390"/>
      <c r="Q21" s="390"/>
      <c r="R21" s="390"/>
      <c r="S21" s="386"/>
      <c r="T21" s="386"/>
      <c r="U21" s="386"/>
    </row>
    <row r="22" spans="1:21">
      <c r="A22" s="371"/>
      <c r="H22" s="386"/>
      <c r="I22" s="387"/>
      <c r="J22" s="387"/>
      <c r="K22" s="387"/>
      <c r="L22" s="420"/>
      <c r="M22" s="423"/>
      <c r="N22" s="424"/>
      <c r="O22" s="425"/>
      <c r="P22" s="425"/>
      <c r="Q22" s="372"/>
      <c r="R22" s="372"/>
      <c r="S22" s="386"/>
      <c r="T22" s="386"/>
      <c r="U22" s="386"/>
    </row>
    <row r="23" spans="1:21">
      <c r="A23" s="371"/>
      <c r="D23" s="365" t="s">
        <v>476</v>
      </c>
      <c r="G23" s="587">
        <v>2700</v>
      </c>
      <c r="H23" s="588">
        <v>23.89</v>
      </c>
      <c r="I23" s="387"/>
      <c r="J23" s="387"/>
      <c r="K23" s="387"/>
      <c r="L23" s="420"/>
      <c r="M23" s="423"/>
      <c r="N23" s="424"/>
      <c r="O23" s="425"/>
      <c r="P23" s="425"/>
      <c r="Q23" s="372"/>
      <c r="R23" s="372"/>
      <c r="S23" s="386"/>
      <c r="T23" s="386"/>
      <c r="U23" s="386"/>
    </row>
    <row r="24" spans="1:21">
      <c r="A24" s="371"/>
      <c r="D24" s="365" t="s">
        <v>474</v>
      </c>
      <c r="E24" s="365" t="s">
        <v>468</v>
      </c>
      <c r="F24" s="593" t="s">
        <v>529</v>
      </c>
      <c r="G24" s="589">
        <v>2800</v>
      </c>
      <c r="H24" s="590">
        <v>23.79</v>
      </c>
      <c r="I24" s="387"/>
      <c r="J24" s="387"/>
      <c r="K24" s="387"/>
      <c r="L24" s="420"/>
      <c r="M24" s="423"/>
      <c r="N24" s="424"/>
      <c r="O24" s="425"/>
      <c r="P24" s="425"/>
      <c r="Q24" s="372"/>
      <c r="R24" s="372"/>
      <c r="S24" s="386"/>
      <c r="T24" s="386"/>
      <c r="U24" s="386"/>
    </row>
    <row r="25" spans="1:21">
      <c r="A25" s="371"/>
      <c r="D25" s="365">
        <v>14.678000000000001</v>
      </c>
      <c r="E25" s="365">
        <v>2.62</v>
      </c>
      <c r="F25" s="365">
        <v>23.89</v>
      </c>
      <c r="G25" s="589">
        <v>3000</v>
      </c>
      <c r="H25" s="590">
        <v>23.64</v>
      </c>
      <c r="I25" s="387"/>
      <c r="J25" s="387"/>
      <c r="K25" s="387"/>
      <c r="L25" s="420"/>
      <c r="M25" s="423"/>
      <c r="N25" s="424"/>
      <c r="O25" s="425"/>
      <c r="P25" s="425"/>
      <c r="Q25" s="372"/>
      <c r="R25" s="372"/>
      <c r="S25" s="386"/>
      <c r="T25" s="386"/>
      <c r="U25" s="386"/>
    </row>
    <row r="26" spans="1:21">
      <c r="A26" s="371"/>
      <c r="D26" s="365">
        <f>Hydro!B13</f>
        <v>15</v>
      </c>
      <c r="E26" s="367">
        <f>Hydro!Z47</f>
        <v>2.5370000000000026</v>
      </c>
      <c r="F26" s="365">
        <v>23.812999999999999</v>
      </c>
      <c r="G26" s="589">
        <v>3200</v>
      </c>
      <c r="H26" s="590">
        <v>23.5</v>
      </c>
      <c r="I26" s="370"/>
      <c r="J26" s="370"/>
      <c r="K26" s="370"/>
      <c r="L26" s="420"/>
      <c r="M26" s="423"/>
      <c r="N26" s="424"/>
      <c r="O26" s="425"/>
      <c r="P26" s="425"/>
      <c r="Q26" s="372"/>
      <c r="R26" s="372"/>
      <c r="S26" s="386"/>
      <c r="T26" s="386"/>
      <c r="U26" s="386"/>
    </row>
    <row r="27" spans="1:21">
      <c r="A27" s="371"/>
      <c r="D27" s="365">
        <f>Hydro!B14</f>
        <v>15.2</v>
      </c>
      <c r="E27" s="367">
        <f>Hydro!Z48</f>
        <v>2.4750000000000014</v>
      </c>
      <c r="F27" s="365">
        <v>23.774999999999999</v>
      </c>
      <c r="G27" s="589">
        <v>3400</v>
      </c>
      <c r="H27" s="590">
        <v>23.35</v>
      </c>
      <c r="I27" s="370"/>
      <c r="J27" s="370"/>
      <c r="K27" s="370"/>
      <c r="L27" s="420"/>
      <c r="M27" s="423"/>
      <c r="N27" s="424"/>
      <c r="O27" s="425"/>
      <c r="P27" s="425"/>
      <c r="Q27" s="372"/>
      <c r="R27" s="372"/>
      <c r="S27" s="386"/>
      <c r="T27" s="386"/>
      <c r="U27" s="386"/>
    </row>
    <row r="28" spans="1:21">
      <c r="A28" s="371"/>
      <c r="D28" s="365">
        <f>Hydro!B15</f>
        <v>15.4</v>
      </c>
      <c r="E28" s="367">
        <f>Hydro!Z49</f>
        <v>2.4230000000000018</v>
      </c>
      <c r="F28" s="365">
        <v>23.736999999999998</v>
      </c>
      <c r="G28" s="589">
        <v>3600</v>
      </c>
      <c r="H28" s="590">
        <v>23.26</v>
      </c>
      <c r="I28" s="370"/>
      <c r="J28" s="370"/>
      <c r="K28" s="370"/>
      <c r="L28" s="420"/>
      <c r="M28" s="423"/>
      <c r="N28" s="424"/>
      <c r="O28" s="425"/>
      <c r="P28" s="425"/>
      <c r="Q28" s="372"/>
      <c r="R28" s="372"/>
      <c r="S28" s="386"/>
      <c r="T28" s="386"/>
      <c r="U28" s="386"/>
    </row>
    <row r="29" spans="1:21">
      <c r="A29" s="371"/>
      <c r="D29" s="365">
        <f>Hydro!B16</f>
        <v>15.6</v>
      </c>
      <c r="E29" s="367">
        <f>Hydro!Z50</f>
        <v>2.3645999999999994</v>
      </c>
      <c r="F29" s="365">
        <v>23.695399999999999</v>
      </c>
      <c r="G29" s="589">
        <v>3800</v>
      </c>
      <c r="H29" s="590">
        <v>23.19</v>
      </c>
      <c r="I29" s="370"/>
      <c r="J29" s="370"/>
      <c r="K29" s="370"/>
      <c r="L29" s="420"/>
      <c r="M29" s="420"/>
      <c r="N29" s="420"/>
      <c r="O29" s="420"/>
      <c r="P29" s="426"/>
      <c r="Q29" s="427"/>
      <c r="R29" s="416"/>
      <c r="S29" s="386"/>
      <c r="T29" s="386"/>
      <c r="U29" s="386"/>
    </row>
    <row r="30" spans="1:21">
      <c r="A30" s="371"/>
      <c r="D30" s="365">
        <f>Hydro!B17</f>
        <v>15.8</v>
      </c>
      <c r="E30" s="367">
        <f>Hydro!Z51</f>
        <v>2.3297999999999988</v>
      </c>
      <c r="F30" s="365">
        <v>23.650200000000002</v>
      </c>
      <c r="G30" s="589">
        <v>3900</v>
      </c>
      <c r="H30" s="590">
        <v>23.17</v>
      </c>
      <c r="I30" s="370"/>
      <c r="J30" s="370"/>
      <c r="K30" s="370"/>
      <c r="L30" s="427"/>
      <c r="M30" s="420"/>
      <c r="N30" s="420"/>
      <c r="O30" s="420"/>
      <c r="P30" s="426"/>
      <c r="Q30" s="428"/>
      <c r="R30" s="417"/>
      <c r="S30" s="386"/>
      <c r="T30" s="386"/>
      <c r="U30" s="386"/>
    </row>
    <row r="31" spans="1:21">
      <c r="A31" s="371"/>
      <c r="D31" s="365">
        <f>Hydro!B18</f>
        <v>16</v>
      </c>
      <c r="E31" s="367">
        <f>Hydro!Z52</f>
        <v>2.2850000000000001</v>
      </c>
      <c r="F31" s="365">
        <v>23.605</v>
      </c>
      <c r="G31" s="589">
        <v>4000</v>
      </c>
      <c r="H31" s="590">
        <v>23.07</v>
      </c>
      <c r="I31" s="370"/>
      <c r="J31" s="370"/>
      <c r="K31" s="370"/>
      <c r="L31" s="427"/>
      <c r="M31" s="420"/>
      <c r="N31" s="420"/>
      <c r="O31" s="420"/>
      <c r="P31" s="426"/>
      <c r="Q31" s="429"/>
      <c r="R31" s="417"/>
      <c r="S31" s="386"/>
      <c r="T31" s="386"/>
      <c r="U31" s="386"/>
    </row>
    <row r="32" spans="1:21">
      <c r="A32" s="371"/>
      <c r="D32" s="365">
        <f>Hydro!B19</f>
        <v>16.2</v>
      </c>
      <c r="E32" s="367">
        <f>Hydro!Z53</f>
        <v>2.2481999999999971</v>
      </c>
      <c r="F32" s="365">
        <v>23.561800000000002</v>
      </c>
      <c r="G32" s="589">
        <v>4100</v>
      </c>
      <c r="H32" s="590">
        <v>22.9</v>
      </c>
      <c r="I32" s="370"/>
      <c r="J32" s="370"/>
      <c r="K32" s="370"/>
      <c r="L32" s="427"/>
      <c r="M32" s="420"/>
      <c r="N32" s="420"/>
      <c r="O32" s="420"/>
      <c r="P32" s="426"/>
      <c r="Q32" s="428"/>
      <c r="R32" s="417"/>
      <c r="S32" s="386"/>
      <c r="T32" s="386"/>
      <c r="U32" s="391"/>
    </row>
    <row r="33" spans="1:21">
      <c r="A33" s="371"/>
      <c r="D33" s="365">
        <f>Hydro!B20</f>
        <v>16.399999999999999</v>
      </c>
      <c r="E33" s="367">
        <f>Hydro!Z54</f>
        <v>2.2114000000000011</v>
      </c>
      <c r="F33" s="365">
        <v>23.518599999999999</v>
      </c>
      <c r="G33" s="589">
        <v>4200</v>
      </c>
      <c r="H33" s="590">
        <v>22.75</v>
      </c>
      <c r="I33" s="370"/>
      <c r="J33" s="370"/>
      <c r="K33" s="370"/>
      <c r="L33" s="387"/>
      <c r="M33" s="387"/>
      <c r="N33" s="387"/>
      <c r="O33" s="387"/>
      <c r="P33" s="387"/>
      <c r="Q33" s="418"/>
      <c r="R33" s="417"/>
      <c r="S33" s="386"/>
      <c r="T33" s="386"/>
      <c r="U33" s="386"/>
    </row>
    <row r="34" spans="1:21" ht="17.25" thickBot="1">
      <c r="A34" s="371"/>
      <c r="D34" s="365">
        <f>Hydro!B21</f>
        <v>16.600000000000001</v>
      </c>
      <c r="E34" s="367">
        <f>Hydro!Z55</f>
        <v>2.171599999999998</v>
      </c>
      <c r="F34" s="365">
        <v>23.478400000000001</v>
      </c>
      <c r="G34" s="591">
        <v>4300</v>
      </c>
      <c r="H34" s="592">
        <v>22.6</v>
      </c>
      <c r="I34" s="370"/>
      <c r="J34" s="370"/>
      <c r="K34" s="370"/>
      <c r="L34" s="387"/>
      <c r="M34" s="387"/>
      <c r="N34" s="386"/>
      <c r="O34" s="387"/>
      <c r="P34" s="387"/>
      <c r="Q34" s="419"/>
      <c r="R34" s="417"/>
      <c r="S34" s="386"/>
      <c r="T34" s="386"/>
      <c r="U34" s="386"/>
    </row>
    <row r="35" spans="1:21">
      <c r="A35" s="371"/>
      <c r="D35" s="365">
        <f>Hydro!B22</f>
        <v>16.8</v>
      </c>
      <c r="E35" s="367">
        <f>Hydro!Z56</f>
        <v>2.1488000000000014</v>
      </c>
      <c r="F35" s="365">
        <v>23.441199999999998</v>
      </c>
      <c r="I35" s="369" t="s">
        <v>452</v>
      </c>
      <c r="J35" s="369" t="s">
        <v>450</v>
      </c>
      <c r="K35" s="369" t="s">
        <v>450</v>
      </c>
      <c r="L35" s="387"/>
      <c r="M35" s="387"/>
      <c r="N35" s="386"/>
      <c r="O35" s="387"/>
      <c r="P35" s="387"/>
      <c r="Q35" s="386"/>
      <c r="R35" s="386"/>
      <c r="S35" s="386"/>
      <c r="T35" s="386"/>
      <c r="U35" s="386"/>
    </row>
    <row r="36" spans="1:21">
      <c r="A36" s="371"/>
      <c r="D36" s="365">
        <f>Hydro!B23</f>
        <v>17</v>
      </c>
      <c r="E36" s="367">
        <f>Hydro!Z57</f>
        <v>2.1159999999999997</v>
      </c>
      <c r="F36" s="365">
        <v>23.404</v>
      </c>
      <c r="I36" s="369"/>
      <c r="J36" s="369"/>
      <c r="K36" s="367"/>
      <c r="L36" s="370"/>
      <c r="M36" s="370"/>
      <c r="O36" s="370"/>
      <c r="P36" s="370"/>
      <c r="Q36" s="370"/>
      <c r="R36" s="370"/>
    </row>
    <row r="37" spans="1:21">
      <c r="A37" s="371"/>
      <c r="D37" s="365">
        <f>Hydro!B24</f>
        <v>17.2</v>
      </c>
      <c r="E37" s="367">
        <f>Hydro!Z58</f>
        <v>2.0975999999999999</v>
      </c>
      <c r="F37" s="365">
        <v>23.372399999999999</v>
      </c>
      <c r="L37" s="370"/>
      <c r="M37" s="370"/>
      <c r="N37" s="370"/>
      <c r="O37" s="370"/>
      <c r="P37" s="370"/>
      <c r="Q37" s="370"/>
      <c r="R37" s="370"/>
    </row>
    <row r="38" spans="1:21">
      <c r="A38" s="371"/>
      <c r="D38" s="365">
        <f>Hydro!B25</f>
        <v>17.399999999999999</v>
      </c>
      <c r="E38" s="367">
        <f>Hydro!Z59</f>
        <v>2.0792000000000037</v>
      </c>
      <c r="F38" s="365">
        <v>23.340799999999998</v>
      </c>
      <c r="L38" s="370"/>
      <c r="M38" s="370"/>
      <c r="N38" s="370"/>
      <c r="O38" s="370"/>
      <c r="P38" s="370"/>
      <c r="Q38" s="370"/>
      <c r="R38" s="370"/>
    </row>
    <row r="39" spans="1:21">
      <c r="A39" s="371"/>
      <c r="D39" s="365">
        <f>Hydro!B26</f>
        <v>17.600000000000001</v>
      </c>
      <c r="E39" s="367">
        <f>Hydro!Z60</f>
        <v>2.058600000000002</v>
      </c>
      <c r="F39" s="365">
        <v>23.311399999999999</v>
      </c>
      <c r="L39" s="370"/>
      <c r="M39" s="370"/>
      <c r="N39" s="370"/>
      <c r="O39" s="370"/>
      <c r="P39" s="370"/>
      <c r="Q39" s="370"/>
      <c r="R39" s="370"/>
    </row>
    <row r="40" spans="1:21">
      <c r="A40" s="371"/>
      <c r="D40" s="365">
        <f>Hydro!B27</f>
        <v>17.8</v>
      </c>
      <c r="E40" s="367">
        <f>Hydro!Z61</f>
        <v>2.0357999999999983</v>
      </c>
      <c r="F40" s="365">
        <v>23.284200000000002</v>
      </c>
      <c r="L40" s="370"/>
      <c r="M40" s="370"/>
      <c r="N40" s="370"/>
      <c r="O40" s="370"/>
      <c r="P40" s="370"/>
      <c r="Q40" s="370"/>
      <c r="R40" s="370"/>
    </row>
    <row r="41" spans="1:21">
      <c r="A41" s="371"/>
      <c r="D41" s="365">
        <f>Hydro!B28</f>
        <v>18</v>
      </c>
      <c r="E41" s="367">
        <f>Hydro!Z62</f>
        <v>2.0229999999999997</v>
      </c>
      <c r="F41" s="365">
        <v>23.257000000000001</v>
      </c>
      <c r="L41" s="370"/>
      <c r="M41" s="370"/>
      <c r="N41" s="370"/>
      <c r="O41" s="370"/>
      <c r="P41" s="370"/>
      <c r="Q41" s="370"/>
      <c r="R41" s="370"/>
    </row>
    <row r="42" spans="1:21">
      <c r="A42" s="371"/>
      <c r="D42" s="365">
        <f>Hydro!B29</f>
        <v>18.2</v>
      </c>
      <c r="E42" s="367">
        <f>Hydro!Z63</f>
        <v>2.0065999999999988</v>
      </c>
      <c r="F42" s="365">
        <v>23.2334</v>
      </c>
      <c r="L42" s="370"/>
      <c r="M42" s="370"/>
      <c r="N42" s="370"/>
      <c r="O42" s="370"/>
      <c r="P42" s="370"/>
      <c r="Q42" s="370"/>
      <c r="R42" s="370"/>
    </row>
    <row r="43" spans="1:21">
      <c r="A43" s="371"/>
      <c r="D43" s="365">
        <f>Hydro!B30</f>
        <v>18.399999999999999</v>
      </c>
      <c r="E43" s="367">
        <f>Hydro!Z64</f>
        <v>2.0001999999999995</v>
      </c>
      <c r="F43" s="365">
        <v>23.209800000000001</v>
      </c>
      <c r="L43" s="370"/>
      <c r="M43" s="370"/>
      <c r="N43" s="370"/>
      <c r="O43" s="370"/>
      <c r="P43" s="370"/>
      <c r="Q43" s="370"/>
      <c r="R43" s="370"/>
    </row>
    <row r="44" spans="1:21">
      <c r="A44" s="371"/>
      <c r="D44" s="365">
        <f>Hydro!B31</f>
        <v>18.600000000000001</v>
      </c>
      <c r="E44" s="367">
        <f>Hydro!Z65</f>
        <v>1.9909999999999997</v>
      </c>
      <c r="F44" s="365">
        <v>23.189</v>
      </c>
      <c r="L44" s="370"/>
      <c r="M44" s="370"/>
      <c r="N44" s="370"/>
      <c r="O44" s="370"/>
      <c r="P44" s="370"/>
      <c r="Q44" s="370"/>
      <c r="R44" s="370"/>
    </row>
    <row r="45" spans="1:21">
      <c r="D45" s="365">
        <f>Hydro!B32</f>
        <v>18.8</v>
      </c>
      <c r="E45" s="367">
        <f>Hydro!Z66</f>
        <v>1.9789999999999992</v>
      </c>
      <c r="F45" s="365">
        <v>23.170999999999999</v>
      </c>
      <c r="L45" s="367"/>
      <c r="M45" s="367"/>
      <c r="N45" s="368" t="s">
        <v>451</v>
      </c>
      <c r="O45" s="367"/>
      <c r="P45" s="367"/>
      <c r="Q45" s="369" t="s">
        <v>450</v>
      </c>
      <c r="R45" s="366" t="s">
        <v>449</v>
      </c>
    </row>
    <row r="46" spans="1:21">
      <c r="D46" s="365">
        <f>Hydro!B33</f>
        <v>19</v>
      </c>
      <c r="E46" s="367">
        <f>Hydro!Z67</f>
        <v>1.9969999999999999</v>
      </c>
      <c r="F46" s="365">
        <v>23.152999999999999</v>
      </c>
      <c r="L46" s="367"/>
      <c r="M46" s="368"/>
      <c r="N46" s="367"/>
      <c r="O46" s="367"/>
      <c r="P46" s="367"/>
      <c r="Q46" s="367"/>
      <c r="R46" s="366"/>
    </row>
    <row r="47" spans="1:21">
      <c r="D47" s="365">
        <f>Hydro!B34</f>
        <v>19.2</v>
      </c>
      <c r="E47" s="367">
        <f>Hydro!Z68</f>
        <v>2.0530000000000008</v>
      </c>
      <c r="F47" s="365">
        <v>23.076999999999998</v>
      </c>
    </row>
    <row r="48" spans="1:21">
      <c r="D48" s="365">
        <f>Hydro!B35</f>
        <v>19.399999999999999</v>
      </c>
      <c r="E48" s="367">
        <f>Hydro!Z69</f>
        <v>2.1089999999999982</v>
      </c>
      <c r="F48" s="365">
        <v>23.001000000000001</v>
      </c>
    </row>
    <row r="49" spans="4:6">
      <c r="D49" s="365">
        <f>Hydro!B36</f>
        <v>19.600000000000001</v>
      </c>
      <c r="E49" s="367">
        <f>Hydro!Z70</f>
        <v>2.1783999999999999</v>
      </c>
      <c r="F49" s="365">
        <v>22.9116</v>
      </c>
    </row>
    <row r="50" spans="4:6">
      <c r="D50" s="365">
        <f>Hydro!B37</f>
        <v>19.8</v>
      </c>
      <c r="E50" s="367">
        <f>Hydro!Z71</f>
        <v>2.2612000000000023</v>
      </c>
      <c r="F50" s="365">
        <v>22.808799999999998</v>
      </c>
    </row>
    <row r="51" spans="4:6">
      <c r="D51" s="365">
        <f>Hydro!B38</f>
        <v>20</v>
      </c>
      <c r="E51" s="367">
        <f>Hydro!Z72</f>
        <v>2.3539999999999992</v>
      </c>
      <c r="F51" s="365">
        <v>22.706</v>
      </c>
    </row>
  </sheetData>
  <mergeCells count="1">
    <mergeCell ref="D2:E2"/>
  </mergeCells>
  <printOptions horizontalCentered="1"/>
  <pageMargins left="0.7" right="0.7" top="0.75" bottom="0.75" header="0.3" footer="0.3"/>
  <pageSetup scale="99" orientation="portrait" r:id="rId1"/>
  <ignoredErrors>
    <ignoredError sqref="I11:J1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W42"/>
  <sheetViews>
    <sheetView zoomScaleNormal="100" workbookViewId="0">
      <selection activeCell="V49" sqref="V49"/>
    </sheetView>
  </sheetViews>
  <sheetFormatPr defaultRowHeight="12.75"/>
  <cols>
    <col min="2" max="2" width="18.83203125" bestFit="1" customWidth="1"/>
    <col min="3" max="3" width="13.6640625" bestFit="1" customWidth="1"/>
    <col min="5" max="5" width="20.6640625" bestFit="1" customWidth="1"/>
    <col min="6" max="6" width="13.5" customWidth="1"/>
    <col min="7" max="7" width="15.1640625" customWidth="1"/>
    <col min="9" max="9" width="10.6640625" bestFit="1" customWidth="1"/>
    <col min="10" max="10" width="9.5" bestFit="1" customWidth="1"/>
    <col min="11" max="11" width="11.33203125" bestFit="1" customWidth="1"/>
  </cols>
  <sheetData>
    <row r="3" spans="2:23" ht="15">
      <c r="O3" t="s">
        <v>474</v>
      </c>
      <c r="P3" t="s">
        <v>468</v>
      </c>
      <c r="Q3" s="593" t="s">
        <v>529</v>
      </c>
      <c r="S3" s="32" t="s">
        <v>480</v>
      </c>
      <c r="U3" s="32" t="s">
        <v>495</v>
      </c>
      <c r="V3" s="32" t="s">
        <v>529</v>
      </c>
    </row>
    <row r="4" spans="2:23" ht="15">
      <c r="O4">
        <v>14.763999999999999</v>
      </c>
      <c r="P4">
        <v>2.62</v>
      </c>
      <c r="Q4" s="365">
        <v>23.89</v>
      </c>
      <c r="S4" s="32" t="s">
        <v>485</v>
      </c>
      <c r="T4" s="32" t="s">
        <v>496</v>
      </c>
      <c r="U4" s="445">
        <v>18.846</v>
      </c>
      <c r="V4" s="210">
        <v>20.77</v>
      </c>
      <c r="W4" s="210">
        <f>V4+$U$17</f>
        <v>21.953808908973532</v>
      </c>
    </row>
    <row r="5" spans="2:23" ht="15">
      <c r="O5">
        <v>15</v>
      </c>
      <c r="P5">
        <v>2.5370000000000026</v>
      </c>
      <c r="Q5" s="365">
        <v>23.812999999999999</v>
      </c>
      <c r="T5" s="32" t="s">
        <v>493</v>
      </c>
      <c r="U5" s="445">
        <v>18.975999999999999</v>
      </c>
      <c r="V5">
        <v>21</v>
      </c>
      <c r="W5" s="210">
        <f t="shared" ref="W5:W6" si="0">V5+$U$17</f>
        <v>22.183808908973532</v>
      </c>
    </row>
    <row r="6" spans="2:23" ht="15">
      <c r="O6">
        <v>15.2</v>
      </c>
      <c r="P6">
        <v>2.4750000000000014</v>
      </c>
      <c r="Q6" s="365">
        <v>23.774999999999999</v>
      </c>
      <c r="T6" s="32" t="s">
        <v>494</v>
      </c>
      <c r="U6" s="445">
        <v>19.105</v>
      </c>
      <c r="V6">
        <v>21.23</v>
      </c>
      <c r="W6" s="210">
        <f t="shared" si="0"/>
        <v>22.413808908973532</v>
      </c>
    </row>
    <row r="7" spans="2:23" ht="15">
      <c r="J7" s="317"/>
      <c r="K7" s="317"/>
      <c r="O7">
        <v>15.4</v>
      </c>
      <c r="P7">
        <v>2.4230000000000018</v>
      </c>
      <c r="Q7" s="365">
        <v>23.736999999999998</v>
      </c>
      <c r="S7" s="32" t="s">
        <v>486</v>
      </c>
      <c r="T7" s="32" t="s">
        <v>496</v>
      </c>
      <c r="U7" s="445">
        <v>18.251000000000001</v>
      </c>
      <c r="V7" s="210">
        <v>20.9</v>
      </c>
      <c r="W7" s="210">
        <f>V7+$U$18</f>
        <v>22.120504410194698</v>
      </c>
    </row>
    <row r="8" spans="2:23" ht="15">
      <c r="F8" s="380" t="s">
        <v>457</v>
      </c>
      <c r="G8" s="380" t="s">
        <v>462</v>
      </c>
      <c r="H8" s="380" t="s">
        <v>41</v>
      </c>
      <c r="I8" s="380" t="s">
        <v>16</v>
      </c>
      <c r="J8" s="380" t="s">
        <v>42</v>
      </c>
      <c r="K8" s="380" t="s">
        <v>43</v>
      </c>
      <c r="O8">
        <v>15.6</v>
      </c>
      <c r="P8">
        <v>2.3645999999999994</v>
      </c>
      <c r="Q8" s="365">
        <v>23.695399999999999</v>
      </c>
      <c r="T8" s="32" t="s">
        <v>493</v>
      </c>
      <c r="U8" s="445">
        <v>18.38</v>
      </c>
      <c r="V8">
        <v>21.14</v>
      </c>
      <c r="W8" s="210">
        <f t="shared" ref="W8:W9" si="1">V8+$U$18</f>
        <v>22.3605044101947</v>
      </c>
    </row>
    <row r="9" spans="2:23" ht="16.5">
      <c r="F9" s="378"/>
      <c r="G9" s="381" t="s">
        <v>463</v>
      </c>
      <c r="H9" s="381" t="s">
        <v>195</v>
      </c>
      <c r="I9" s="381" t="s">
        <v>198</v>
      </c>
      <c r="J9" s="381" t="s">
        <v>196</v>
      </c>
      <c r="K9" s="381" t="s">
        <v>197</v>
      </c>
      <c r="O9">
        <v>15.8</v>
      </c>
      <c r="P9">
        <v>2.3297999999999988</v>
      </c>
      <c r="Q9" s="365">
        <v>23.650200000000002</v>
      </c>
      <c r="T9" s="32" t="s">
        <v>494</v>
      </c>
      <c r="U9" s="445">
        <v>18.510000000000002</v>
      </c>
      <c r="V9">
        <v>21.38</v>
      </c>
      <c r="W9" s="210">
        <f t="shared" si="1"/>
        <v>22.600504410194699</v>
      </c>
    </row>
    <row r="10" spans="2:23" ht="15">
      <c r="B10" s="437"/>
      <c r="C10" s="438" t="s">
        <v>491</v>
      </c>
      <c r="D10" s="380" t="s">
        <v>41</v>
      </c>
      <c r="F10" s="349" t="s">
        <v>458</v>
      </c>
      <c r="G10" s="255">
        <v>13777</v>
      </c>
      <c r="H10" s="313">
        <f>D12*G10/2240</f>
        <v>18.881870535714285</v>
      </c>
      <c r="I10" s="255">
        <v>46.83</v>
      </c>
      <c r="J10" s="255">
        <v>111.01</v>
      </c>
      <c r="K10" s="255">
        <v>7.0000000000000007E-2</v>
      </c>
      <c r="O10">
        <v>16</v>
      </c>
      <c r="P10">
        <v>2.2850000000000001</v>
      </c>
      <c r="Q10" s="365">
        <v>23.605</v>
      </c>
      <c r="S10" s="32" t="s">
        <v>189</v>
      </c>
      <c r="T10" s="32" t="s">
        <v>496</v>
      </c>
      <c r="U10" s="445">
        <v>17.856000000000002</v>
      </c>
      <c r="V10" s="210">
        <v>20.95</v>
      </c>
      <c r="W10" s="210">
        <f>V10+$U$19</f>
        <v>22.229151529356614</v>
      </c>
    </row>
    <row r="11" spans="2:23" ht="16.5">
      <c r="B11" s="378"/>
      <c r="C11" s="439" t="s">
        <v>492</v>
      </c>
      <c r="D11" s="381" t="s">
        <v>456</v>
      </c>
      <c r="F11" s="349" t="s">
        <v>31</v>
      </c>
      <c r="G11" s="255">
        <v>21189</v>
      </c>
      <c r="H11" s="313">
        <f>D13*G11/2240</f>
        <v>14.520140625</v>
      </c>
      <c r="I11" s="255">
        <v>41.01</v>
      </c>
      <c r="J11" s="255">
        <v>84.65</v>
      </c>
      <c r="K11" s="255">
        <v>-1.49</v>
      </c>
      <c r="O11">
        <v>16.2</v>
      </c>
      <c r="P11">
        <v>2.2481999999999971</v>
      </c>
      <c r="Q11" s="365">
        <v>23.561800000000002</v>
      </c>
      <c r="T11" s="32" t="s">
        <v>493</v>
      </c>
      <c r="U11" s="445">
        <v>17.988</v>
      </c>
      <c r="V11">
        <v>21.2</v>
      </c>
      <c r="W11" s="210">
        <f t="shared" ref="W11:W12" si="2">V11+$U$19</f>
        <v>22.479151529356614</v>
      </c>
    </row>
    <row r="12" spans="2:23" ht="15">
      <c r="B12" s="346" t="s">
        <v>454</v>
      </c>
      <c r="C12" s="435">
        <f>C24/2</f>
        <v>0.65</v>
      </c>
      <c r="D12" s="435">
        <f>D24/2</f>
        <v>3.07</v>
      </c>
      <c r="F12" s="349" t="s">
        <v>459</v>
      </c>
      <c r="G12" s="377"/>
      <c r="H12" s="313">
        <f>SUM(H10:H11)</f>
        <v>33.402011160714281</v>
      </c>
      <c r="I12" s="313">
        <f>SUMPRODUCT($H$10:$H$11,I10:I11)/$H$12</f>
        <v>44.299996102004393</v>
      </c>
      <c r="J12" s="313">
        <f>SUMPRODUCT($H$10:$H$11,J10:J11)/$H$12</f>
        <v>99.551082001518182</v>
      </c>
      <c r="K12" s="313">
        <f>SUMPRODUCT($H$10:$H$11,K10:K11)/$H$12</f>
        <v>-0.6081453747204727</v>
      </c>
      <c r="O12">
        <v>16.399999999999999</v>
      </c>
      <c r="P12">
        <v>2.2114000000000011</v>
      </c>
      <c r="Q12" s="365">
        <v>23.518599999999999</v>
      </c>
      <c r="T12" s="32" t="s">
        <v>494</v>
      </c>
      <c r="U12" s="445">
        <v>18.12</v>
      </c>
      <c r="V12">
        <v>21.44</v>
      </c>
      <c r="W12" s="210">
        <f t="shared" si="2"/>
        <v>22.719151529356616</v>
      </c>
    </row>
    <row r="13" spans="2:23" ht="15">
      <c r="B13" s="349" t="s">
        <v>455</v>
      </c>
      <c r="C13" s="379">
        <f>C25/2</f>
        <v>0.32500000000000001</v>
      </c>
      <c r="D13" s="379">
        <f>D25/2</f>
        <v>1.5349999999999999</v>
      </c>
      <c r="F13" s="633" t="s">
        <v>460</v>
      </c>
      <c r="G13" s="633"/>
      <c r="H13" s="313">
        <f>H12*0.15</f>
        <v>5.0103016741071418</v>
      </c>
      <c r="I13" s="313">
        <f>I12</f>
        <v>44.299996102004393</v>
      </c>
      <c r="J13" s="313">
        <f>J12</f>
        <v>99.551082001518182</v>
      </c>
      <c r="K13" s="313">
        <f>K12</f>
        <v>-0.6081453747204727</v>
      </c>
      <c r="O13">
        <v>16.600000000000001</v>
      </c>
      <c r="P13">
        <v>2.171599999999998</v>
      </c>
      <c r="Q13" s="365">
        <v>23.478400000000001</v>
      </c>
    </row>
    <row r="14" spans="2:23" ht="15">
      <c r="F14" s="633" t="s">
        <v>461</v>
      </c>
      <c r="G14" s="634"/>
      <c r="H14" s="313">
        <f>H13+H12</f>
        <v>38.412312834821421</v>
      </c>
      <c r="I14" s="313">
        <f>SUMPRODUCT($H$12:$H$13,I12:I13)/$H$14</f>
        <v>44.299996102004393</v>
      </c>
      <c r="J14" s="313">
        <f>SUMPRODUCT($H$12:$H$13,J12:J13)/$H$14</f>
        <v>99.551082001518182</v>
      </c>
      <c r="K14" s="313">
        <f>SUMPRODUCT($H$12:$H$13,K12:K13)/$H$14</f>
        <v>-0.6081453747204727</v>
      </c>
      <c r="O14">
        <v>16.8</v>
      </c>
      <c r="P14">
        <v>2.1488000000000014</v>
      </c>
      <c r="Q14" s="365">
        <v>23.441199999999998</v>
      </c>
    </row>
    <row r="15" spans="2:23" ht="15">
      <c r="O15">
        <v>17</v>
      </c>
      <c r="P15">
        <v>2.1159999999999997</v>
      </c>
      <c r="Q15" s="365">
        <v>23.404</v>
      </c>
    </row>
    <row r="16" spans="2:23" ht="15">
      <c r="O16">
        <v>17.2</v>
      </c>
      <c r="P16">
        <v>2.0975999999999999</v>
      </c>
      <c r="Q16" s="365">
        <v>23.372399999999999</v>
      </c>
      <c r="T16" s="32" t="s">
        <v>117</v>
      </c>
    </row>
    <row r="17" spans="1:21" ht="15">
      <c r="O17">
        <v>17.399999999999999</v>
      </c>
      <c r="P17">
        <v>2.0792000000000037</v>
      </c>
      <c r="Q17" s="365">
        <v>23.340799999999998</v>
      </c>
      <c r="T17" s="32" t="s">
        <v>485</v>
      </c>
      <c r="U17" s="210">
        <f>SummaryLoad!AG34</f>
        <v>1.1838089089735313</v>
      </c>
    </row>
    <row r="18" spans="1:21" ht="15">
      <c r="O18">
        <v>17.600000000000001</v>
      </c>
      <c r="P18">
        <v>2.058600000000002</v>
      </c>
      <c r="Q18" s="365">
        <v>23.311399999999999</v>
      </c>
      <c r="T18" s="32" t="s">
        <v>486</v>
      </c>
      <c r="U18" s="210">
        <f>SummaryLoad!BE34</f>
        <v>1.2205044101946982</v>
      </c>
    </row>
    <row r="19" spans="1:21" ht="15">
      <c r="O19">
        <v>17.8</v>
      </c>
      <c r="P19">
        <v>2.0357999999999983</v>
      </c>
      <c r="Q19" s="365">
        <v>23.284200000000002</v>
      </c>
      <c r="T19" s="32" t="s">
        <v>189</v>
      </c>
      <c r="U19" s="210">
        <f>SummaryLoad!CC34</f>
        <v>1.2791515293566156</v>
      </c>
    </row>
    <row r="20" spans="1:21" ht="15">
      <c r="F20" s="380" t="s">
        <v>457</v>
      </c>
      <c r="G20" s="380" t="s">
        <v>462</v>
      </c>
      <c r="H20" s="380" t="s">
        <v>41</v>
      </c>
      <c r="I20" s="380" t="s">
        <v>16</v>
      </c>
      <c r="J20" s="380" t="s">
        <v>42</v>
      </c>
      <c r="K20" s="380" t="s">
        <v>43</v>
      </c>
      <c r="O20">
        <v>18</v>
      </c>
      <c r="P20">
        <v>2.0229999999999997</v>
      </c>
      <c r="Q20" s="365">
        <v>23.257000000000001</v>
      </c>
    </row>
    <row r="21" spans="1:21" ht="16.5">
      <c r="F21" s="378"/>
      <c r="G21" s="381" t="s">
        <v>463</v>
      </c>
      <c r="H21" s="381" t="s">
        <v>195</v>
      </c>
      <c r="I21" s="381" t="s">
        <v>198</v>
      </c>
      <c r="J21" s="381" t="s">
        <v>196</v>
      </c>
      <c r="K21" s="381" t="s">
        <v>197</v>
      </c>
      <c r="O21">
        <v>18.2</v>
      </c>
      <c r="P21">
        <v>2.0065999999999988</v>
      </c>
      <c r="Q21" s="365">
        <v>23.2334</v>
      </c>
    </row>
    <row r="22" spans="1:21" ht="15">
      <c r="B22" s="437"/>
      <c r="C22" s="438" t="s">
        <v>491</v>
      </c>
      <c r="D22" s="380" t="s">
        <v>41</v>
      </c>
      <c r="F22" s="349" t="s">
        <v>458</v>
      </c>
      <c r="G22" s="255">
        <v>13777</v>
      </c>
      <c r="H22" s="313">
        <f>D24*G22/2240</f>
        <v>37.763741071428569</v>
      </c>
      <c r="I22" s="255">
        <v>46.83</v>
      </c>
      <c r="J22" s="255">
        <v>111.01</v>
      </c>
      <c r="K22" s="255">
        <v>7.0000000000000007E-2</v>
      </c>
      <c r="O22">
        <v>18.399999999999999</v>
      </c>
      <c r="P22">
        <v>2.0001999999999995</v>
      </c>
      <c r="Q22" s="365">
        <v>23.209800000000001</v>
      </c>
    </row>
    <row r="23" spans="1:21" ht="16.5">
      <c r="B23" s="378"/>
      <c r="C23" s="439" t="s">
        <v>492</v>
      </c>
      <c r="D23" s="381" t="s">
        <v>456</v>
      </c>
      <c r="F23" s="349" t="s">
        <v>31</v>
      </c>
      <c r="G23" s="255">
        <v>21189</v>
      </c>
      <c r="H23" s="313">
        <f>D25*G23/2240</f>
        <v>29.04028125</v>
      </c>
      <c r="I23" s="255">
        <v>41.01</v>
      </c>
      <c r="J23" s="255">
        <v>84.65</v>
      </c>
      <c r="K23" s="255">
        <v>-1.49</v>
      </c>
      <c r="O23">
        <v>18.600000000000001</v>
      </c>
      <c r="P23">
        <v>1.9909999999999997</v>
      </c>
      <c r="Q23" s="365">
        <v>23.189</v>
      </c>
    </row>
    <row r="24" spans="1:21" ht="15">
      <c r="B24" s="346" t="s">
        <v>454</v>
      </c>
      <c r="C24" s="435">
        <v>1.3</v>
      </c>
      <c r="D24" s="436">
        <v>6.14</v>
      </c>
      <c r="F24" s="349" t="s">
        <v>459</v>
      </c>
      <c r="G24" s="377"/>
      <c r="H24" s="313">
        <f>SUM(H22:H23)</f>
        <v>66.804022321428562</v>
      </c>
      <c r="I24" s="313">
        <f>SUMPRODUCT($H$10:$H$11,I22:I23)/$H$12</f>
        <v>44.299996102004393</v>
      </c>
      <c r="J24" s="313">
        <f>SUMPRODUCT($H$10:$H$11,J22:J23)/$H$12</f>
        <v>99.551082001518182</v>
      </c>
      <c r="K24" s="313">
        <f>SUMPRODUCT($H$10:$H$11,K22:K23)/$H$12</f>
        <v>-0.6081453747204727</v>
      </c>
      <c r="O24">
        <v>18.8</v>
      </c>
      <c r="P24">
        <v>1.9789999999999992</v>
      </c>
      <c r="Q24" s="365">
        <v>23.170999999999999</v>
      </c>
    </row>
    <row r="25" spans="1:21" ht="15">
      <c r="B25" s="349" t="s">
        <v>455</v>
      </c>
      <c r="C25" s="379">
        <v>0.65</v>
      </c>
      <c r="D25" s="255">
        <v>3.07</v>
      </c>
      <c r="F25" s="633" t="s">
        <v>460</v>
      </c>
      <c r="G25" s="633"/>
      <c r="H25" s="313">
        <f>H24*0.15</f>
        <v>10.020603348214284</v>
      </c>
      <c r="I25" s="313">
        <f>I24</f>
        <v>44.299996102004393</v>
      </c>
      <c r="J25" s="313">
        <f>J24</f>
        <v>99.551082001518182</v>
      </c>
      <c r="K25" s="313">
        <f>K24</f>
        <v>-0.6081453747204727</v>
      </c>
      <c r="O25">
        <v>19</v>
      </c>
      <c r="P25">
        <v>1.9969999999999999</v>
      </c>
      <c r="Q25" s="365">
        <v>23.152999999999999</v>
      </c>
    </row>
    <row r="26" spans="1:21" ht="15">
      <c r="F26" s="633" t="s">
        <v>461</v>
      </c>
      <c r="G26" s="634"/>
      <c r="H26" s="313">
        <f>H25+H24</f>
        <v>76.824625669642842</v>
      </c>
      <c r="I26" s="313">
        <f>SUMPRODUCT($H$12:$H$13,I24:I25)/$H$14</f>
        <v>44.299996102004393</v>
      </c>
      <c r="J26" s="313">
        <f>SUMPRODUCT($H$12:$H$13,J24:J25)/$H$14</f>
        <v>99.551082001518182</v>
      </c>
      <c r="K26" s="313">
        <f>SUMPRODUCT($H$12:$H$13,K24:K25)/$H$14</f>
        <v>-0.6081453747204727</v>
      </c>
      <c r="O26">
        <v>19.2</v>
      </c>
      <c r="P26">
        <v>2.0530000000000008</v>
      </c>
      <c r="Q26" s="365">
        <v>23.076999999999998</v>
      </c>
    </row>
    <row r="27" spans="1:21" ht="15">
      <c r="O27">
        <v>19.399999999999999</v>
      </c>
      <c r="P27">
        <v>2.1089999999999982</v>
      </c>
      <c r="Q27" s="365">
        <v>23.001000000000001</v>
      </c>
    </row>
    <row r="28" spans="1:21" ht="1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O28">
        <v>19.600000000000001</v>
      </c>
      <c r="P28">
        <v>2.1783999999999999</v>
      </c>
      <c r="Q28" s="365">
        <v>22.9116</v>
      </c>
    </row>
    <row r="29" spans="1:21" ht="15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O29">
        <v>19.8</v>
      </c>
      <c r="P29">
        <v>2.2612000000000023</v>
      </c>
      <c r="Q29" s="365">
        <v>22.808799999999998</v>
      </c>
    </row>
    <row r="30" spans="1:21" ht="15">
      <c r="A30" s="230"/>
      <c r="B30" s="230"/>
      <c r="C30" s="230"/>
      <c r="D30" s="230"/>
      <c r="E30" s="230"/>
      <c r="F30" s="440"/>
      <c r="G30" s="440"/>
      <c r="H30" s="440"/>
      <c r="I30" s="440"/>
      <c r="J30" s="440"/>
      <c r="K30" s="440"/>
      <c r="L30" s="230"/>
      <c r="O30">
        <v>20</v>
      </c>
      <c r="P30">
        <v>2.3539999999999992</v>
      </c>
      <c r="Q30" s="365">
        <v>22.706</v>
      </c>
    </row>
    <row r="31" spans="1:21">
      <c r="A31" s="230"/>
      <c r="B31" s="230"/>
      <c r="C31" s="230"/>
      <c r="D31" s="230"/>
      <c r="E31" s="230"/>
      <c r="F31" s="230"/>
      <c r="G31" s="440"/>
      <c r="H31" s="440"/>
      <c r="I31" s="440"/>
      <c r="J31" s="440"/>
      <c r="K31" s="440"/>
      <c r="L31" s="230"/>
    </row>
    <row r="32" spans="1:21">
      <c r="A32" s="230"/>
      <c r="B32" s="230"/>
      <c r="C32" s="441"/>
      <c r="D32" s="440"/>
      <c r="E32" s="230"/>
      <c r="F32" s="441"/>
      <c r="G32" s="442"/>
      <c r="H32" s="443"/>
      <c r="I32" s="442"/>
      <c r="J32" s="442"/>
      <c r="K32" s="442"/>
      <c r="L32" s="230"/>
    </row>
    <row r="33" spans="1:12">
      <c r="A33" s="230"/>
      <c r="B33" s="230"/>
      <c r="C33" s="440"/>
      <c r="D33" s="440"/>
      <c r="E33" s="230"/>
      <c r="F33" s="441"/>
      <c r="G33" s="442"/>
      <c r="H33" s="443"/>
      <c r="I33" s="442"/>
      <c r="J33" s="442"/>
      <c r="K33" s="442"/>
      <c r="L33" s="230"/>
    </row>
    <row r="34" spans="1:12">
      <c r="A34" s="230"/>
      <c r="B34" s="441"/>
      <c r="C34" s="440"/>
      <c r="D34" s="440"/>
      <c r="E34" s="230"/>
      <c r="F34" s="441"/>
      <c r="G34" s="230"/>
      <c r="H34" s="443"/>
      <c r="I34" s="443"/>
      <c r="J34" s="443"/>
      <c r="K34" s="443"/>
      <c r="L34" s="230"/>
    </row>
    <row r="35" spans="1:12">
      <c r="A35" s="230"/>
      <c r="B35" s="441"/>
      <c r="C35" s="444"/>
      <c r="D35" s="444"/>
      <c r="E35" s="632" t="s">
        <v>491</v>
      </c>
      <c r="F35" s="632"/>
      <c r="G35" s="632"/>
      <c r="H35" s="450" t="s">
        <v>41</v>
      </c>
      <c r="I35" s="446" t="s">
        <v>16</v>
      </c>
      <c r="J35" s="380" t="s">
        <v>42</v>
      </c>
      <c r="K35" s="380" t="s">
        <v>43</v>
      </c>
      <c r="L35" s="230"/>
    </row>
    <row r="36" spans="1:12">
      <c r="A36" s="230"/>
      <c r="B36" s="230"/>
      <c r="C36" s="230"/>
      <c r="D36" s="230"/>
      <c r="E36" s="607"/>
      <c r="F36" s="606" t="s">
        <v>497</v>
      </c>
      <c r="G36" s="606" t="s">
        <v>498</v>
      </c>
      <c r="H36" s="451" t="s">
        <v>195</v>
      </c>
      <c r="I36" s="447" t="s">
        <v>198</v>
      </c>
      <c r="J36" s="381" t="s">
        <v>196</v>
      </c>
      <c r="K36" s="381" t="s">
        <v>197</v>
      </c>
      <c r="L36" s="230"/>
    </row>
    <row r="37" spans="1:12">
      <c r="A37" s="230"/>
      <c r="B37" s="230"/>
      <c r="C37" s="230"/>
      <c r="D37" s="230"/>
      <c r="E37" s="608" t="s">
        <v>587</v>
      </c>
      <c r="F37" s="448">
        <f>C12</f>
        <v>0.65</v>
      </c>
      <c r="G37" s="449">
        <f>C13</f>
        <v>0.32500000000000001</v>
      </c>
      <c r="H37" s="449">
        <f>H14</f>
        <v>38.412312834821421</v>
      </c>
      <c r="I37" s="449">
        <f t="shared" ref="I37:K37" si="3">I14</f>
        <v>44.299996102004393</v>
      </c>
      <c r="J37" s="449">
        <f t="shared" si="3"/>
        <v>99.551082001518182</v>
      </c>
      <c r="K37" s="449">
        <f t="shared" si="3"/>
        <v>-0.6081453747204727</v>
      </c>
      <c r="L37" s="230"/>
    </row>
    <row r="38" spans="1:12">
      <c r="A38" s="230"/>
      <c r="B38" s="230"/>
      <c r="C38" s="230"/>
      <c r="D38" s="230"/>
      <c r="E38" s="608" t="s">
        <v>588</v>
      </c>
      <c r="F38" s="448">
        <f>C24</f>
        <v>1.3</v>
      </c>
      <c r="G38" s="448">
        <f>C25</f>
        <v>0.65</v>
      </c>
      <c r="H38" s="449">
        <f>H26</f>
        <v>76.824625669642842</v>
      </c>
      <c r="I38" s="449">
        <f t="shared" ref="I38:K38" si="4">I26</f>
        <v>44.299996102004393</v>
      </c>
      <c r="J38" s="449">
        <f t="shared" si="4"/>
        <v>99.551082001518182</v>
      </c>
      <c r="K38" s="449">
        <f t="shared" si="4"/>
        <v>-0.6081453747204727</v>
      </c>
      <c r="L38" s="230"/>
    </row>
    <row r="39" spans="1:12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</row>
    <row r="40" spans="1:12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</row>
    <row r="41" spans="1:12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</row>
    <row r="42" spans="1:12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</row>
  </sheetData>
  <mergeCells count="5">
    <mergeCell ref="E35:G35"/>
    <mergeCell ref="F13:G13"/>
    <mergeCell ref="F14:G14"/>
    <mergeCell ref="F25:G25"/>
    <mergeCell ref="F26:G2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57"/>
  <sheetViews>
    <sheetView zoomScale="90" zoomScaleNormal="90" workbookViewId="0">
      <selection activeCell="G63" sqref="G63"/>
    </sheetView>
  </sheetViews>
  <sheetFormatPr defaultRowHeight="12.75"/>
  <cols>
    <col min="1" max="1" width="6.1640625" customWidth="1"/>
    <col min="2" max="2" width="37.33203125" bestFit="1" customWidth="1"/>
    <col min="3" max="3" width="14.33203125" style="139" bestFit="1" customWidth="1"/>
    <col min="4" max="4" width="12.5" style="2" bestFit="1" customWidth="1"/>
    <col min="5" max="10" width="10.83203125" customWidth="1"/>
    <col min="11" max="11" width="9.83203125" style="8" customWidth="1"/>
    <col min="12" max="12" width="9.33203125" customWidth="1"/>
    <col min="13" max="13" width="25.6640625" bestFit="1" customWidth="1"/>
    <col min="14" max="14" width="17.83203125" bestFit="1" customWidth="1"/>
    <col min="21" max="21" width="9.5" bestFit="1" customWidth="1"/>
    <col min="22" max="22" width="10.1640625" bestFit="1" customWidth="1"/>
    <col min="23" max="23" width="9.5" bestFit="1" customWidth="1"/>
    <col min="24" max="25" width="10.1640625" bestFit="1" customWidth="1"/>
    <col min="26" max="26" width="3.1640625" bestFit="1" customWidth="1"/>
    <col min="27" max="27" width="9.5" bestFit="1" customWidth="1"/>
    <col min="28" max="28" width="3.1640625" bestFit="1" customWidth="1"/>
    <col min="29" max="30" width="10.1640625" bestFit="1" customWidth="1"/>
  </cols>
  <sheetData>
    <row r="1" spans="2:14">
      <c r="D1" s="139"/>
    </row>
    <row r="2" spans="2:14" ht="15.95" customHeight="1">
      <c r="B2" s="167"/>
      <c r="C2" s="165" t="s">
        <v>14</v>
      </c>
      <c r="D2" s="165" t="s">
        <v>51</v>
      </c>
      <c r="E2" s="165" t="s">
        <v>54</v>
      </c>
      <c r="F2" s="165" t="s">
        <v>41</v>
      </c>
      <c r="G2" s="165" t="s">
        <v>16</v>
      </c>
      <c r="H2" s="165" t="s">
        <v>42</v>
      </c>
      <c r="I2" s="165" t="s">
        <v>43</v>
      </c>
      <c r="J2" s="635" t="s">
        <v>50</v>
      </c>
      <c r="K2" s="635"/>
      <c r="L2" s="4"/>
    </row>
    <row r="3" spans="2:14" ht="15.95" customHeight="1">
      <c r="B3" s="180" t="s">
        <v>14</v>
      </c>
      <c r="C3" s="53" t="s">
        <v>178</v>
      </c>
      <c r="D3" s="53"/>
      <c r="E3" s="53" t="s">
        <v>55</v>
      </c>
      <c r="F3" s="52"/>
      <c r="G3" s="52"/>
      <c r="H3" s="52"/>
      <c r="I3" s="52"/>
      <c r="J3" s="53" t="s">
        <v>52</v>
      </c>
      <c r="K3" s="54">
        <v>0.95</v>
      </c>
      <c r="L3" s="5"/>
      <c r="M3" t="s">
        <v>274</v>
      </c>
      <c r="N3" s="2"/>
    </row>
    <row r="4" spans="2:14" ht="15.95" customHeight="1">
      <c r="B4" s="55"/>
      <c r="C4" s="55"/>
      <c r="D4" s="55" t="s">
        <v>265</v>
      </c>
      <c r="E4" s="55" t="s">
        <v>89</v>
      </c>
      <c r="F4" s="55" t="s">
        <v>195</v>
      </c>
      <c r="G4" s="55" t="s">
        <v>198</v>
      </c>
      <c r="H4" s="55" t="s">
        <v>196</v>
      </c>
      <c r="I4" s="55" t="s">
        <v>197</v>
      </c>
      <c r="J4" s="55" t="s">
        <v>266</v>
      </c>
      <c r="K4" s="55" t="s">
        <v>266</v>
      </c>
      <c r="L4" s="2"/>
      <c r="M4" s="64" t="s">
        <v>275</v>
      </c>
    </row>
    <row r="5" spans="2:14" ht="18.75" customHeight="1">
      <c r="B5" s="143" t="s">
        <v>47</v>
      </c>
      <c r="C5" s="53"/>
      <c r="D5" s="166"/>
      <c r="E5" s="170"/>
      <c r="F5" s="164"/>
      <c r="G5" s="170"/>
      <c r="H5" s="170"/>
      <c r="I5" s="170"/>
      <c r="J5" s="168"/>
      <c r="K5" s="63"/>
      <c r="M5" t="s">
        <v>276</v>
      </c>
    </row>
    <row r="6" spans="2:14" ht="15.95" customHeight="1">
      <c r="B6" s="145" t="s">
        <v>264</v>
      </c>
      <c r="C6" s="146" t="s">
        <v>199</v>
      </c>
      <c r="D6" s="148">
        <v>12855</v>
      </c>
      <c r="E6" s="149">
        <v>1.0249999999999999</v>
      </c>
      <c r="F6" s="161">
        <v>49.09</v>
      </c>
      <c r="G6" s="150">
        <v>9.7100000000000009</v>
      </c>
      <c r="H6" s="151">
        <v>70.28</v>
      </c>
      <c r="I6" s="152">
        <v>19.28</v>
      </c>
      <c r="J6" s="171">
        <v>39.78</v>
      </c>
      <c r="K6" s="58"/>
      <c r="M6" t="s">
        <v>277</v>
      </c>
    </row>
    <row r="7" spans="2:14" ht="15.95" customHeight="1">
      <c r="B7" s="145" t="s">
        <v>264</v>
      </c>
      <c r="C7" s="146" t="s">
        <v>200</v>
      </c>
      <c r="D7" s="148">
        <v>12855</v>
      </c>
      <c r="E7" s="149">
        <v>1.0249999999999999</v>
      </c>
      <c r="F7" s="161">
        <v>49.09</v>
      </c>
      <c r="G7" s="150">
        <v>9.7100000000000009</v>
      </c>
      <c r="H7" s="151">
        <v>70.28</v>
      </c>
      <c r="I7" s="152">
        <v>-19.28</v>
      </c>
      <c r="J7" s="171">
        <v>39.78</v>
      </c>
      <c r="K7" s="58"/>
      <c r="M7" t="s">
        <v>278</v>
      </c>
    </row>
    <row r="8" spans="2:14" ht="15.95" customHeight="1">
      <c r="B8" s="145" t="s">
        <v>264</v>
      </c>
      <c r="C8" s="146" t="s">
        <v>201</v>
      </c>
      <c r="D8" s="148">
        <v>7586</v>
      </c>
      <c r="E8" s="149">
        <v>1.0249999999999999</v>
      </c>
      <c r="F8" s="161">
        <v>28.97</v>
      </c>
      <c r="G8" s="150">
        <v>2</v>
      </c>
      <c r="H8" s="151">
        <v>90.08</v>
      </c>
      <c r="I8" s="152">
        <v>0</v>
      </c>
      <c r="J8" s="171">
        <v>327.9</v>
      </c>
      <c r="K8" s="58"/>
      <c r="M8" t="s">
        <v>279</v>
      </c>
    </row>
    <row r="9" spans="2:14" ht="15.95" customHeight="1">
      <c r="B9" s="145" t="s">
        <v>264</v>
      </c>
      <c r="C9" s="146" t="s">
        <v>202</v>
      </c>
      <c r="D9" s="148">
        <v>11581</v>
      </c>
      <c r="E9" s="149">
        <v>1.0249999999999999</v>
      </c>
      <c r="F9" s="161">
        <v>44.22</v>
      </c>
      <c r="G9" s="150">
        <v>7.37</v>
      </c>
      <c r="H9" s="151">
        <v>125</v>
      </c>
      <c r="I9" s="152">
        <v>19.32</v>
      </c>
      <c r="J9" s="171">
        <v>95.82</v>
      </c>
      <c r="K9" s="58"/>
      <c r="M9" t="s">
        <v>280</v>
      </c>
    </row>
    <row r="10" spans="2:14" ht="15.95" customHeight="1">
      <c r="B10" s="145" t="s">
        <v>264</v>
      </c>
      <c r="C10" s="146" t="s">
        <v>203</v>
      </c>
      <c r="D10" s="148">
        <v>11581</v>
      </c>
      <c r="E10" s="149">
        <v>1.0249999999999999</v>
      </c>
      <c r="F10" s="161">
        <v>44.22</v>
      </c>
      <c r="G10" s="150">
        <v>7.37</v>
      </c>
      <c r="H10" s="151">
        <v>125</v>
      </c>
      <c r="I10" s="152">
        <v>-19.32</v>
      </c>
      <c r="J10" s="269">
        <v>95.82</v>
      </c>
      <c r="K10" s="58"/>
    </row>
    <row r="11" spans="2:14" ht="15.95" customHeight="1">
      <c r="B11" s="145" t="s">
        <v>264</v>
      </c>
      <c r="C11" s="146" t="s">
        <v>204</v>
      </c>
      <c r="D11" s="148">
        <v>10470</v>
      </c>
      <c r="E11" s="149">
        <v>1.0249999999999999</v>
      </c>
      <c r="F11" s="161">
        <v>39.979999999999997</v>
      </c>
      <c r="G11" s="150">
        <v>2.71</v>
      </c>
      <c r="H11" s="151">
        <v>143.35</v>
      </c>
      <c r="I11" s="152">
        <v>11.59</v>
      </c>
      <c r="J11" s="269">
        <v>451.51</v>
      </c>
      <c r="K11" s="58"/>
    </row>
    <row r="12" spans="2:14" ht="15.95" customHeight="1">
      <c r="B12" s="145" t="s">
        <v>264</v>
      </c>
      <c r="C12" s="146" t="s">
        <v>205</v>
      </c>
      <c r="D12" s="148">
        <v>10470</v>
      </c>
      <c r="E12" s="149">
        <v>1.0249999999999999</v>
      </c>
      <c r="F12" s="161">
        <v>39.979999999999997</v>
      </c>
      <c r="G12" s="150">
        <v>2.71</v>
      </c>
      <c r="H12" s="151">
        <v>143.35</v>
      </c>
      <c r="I12" s="152">
        <v>-11.59</v>
      </c>
      <c r="J12" s="269">
        <v>451.51</v>
      </c>
      <c r="K12" s="58"/>
    </row>
    <row r="13" spans="2:14" ht="15.95" customHeight="1">
      <c r="B13" s="145" t="s">
        <v>264</v>
      </c>
      <c r="C13" s="146" t="s">
        <v>206</v>
      </c>
      <c r="D13" s="148">
        <v>16591</v>
      </c>
      <c r="E13" s="149">
        <v>1.0249999999999999</v>
      </c>
      <c r="F13" s="161">
        <v>63.36</v>
      </c>
      <c r="G13" s="150">
        <v>6.41</v>
      </c>
      <c r="H13" s="151">
        <v>160.97</v>
      </c>
      <c r="I13" s="152">
        <v>14.54</v>
      </c>
      <c r="J13" s="269">
        <v>446.01</v>
      </c>
      <c r="K13" s="58"/>
    </row>
    <row r="14" spans="2:14" ht="15.95" customHeight="1">
      <c r="B14" s="145" t="s">
        <v>264</v>
      </c>
      <c r="C14" s="146" t="s">
        <v>207</v>
      </c>
      <c r="D14" s="148">
        <v>16591</v>
      </c>
      <c r="E14" s="149">
        <v>1.0249999999999999</v>
      </c>
      <c r="F14" s="161">
        <v>63.36</v>
      </c>
      <c r="G14" s="150">
        <v>6.41</v>
      </c>
      <c r="H14" s="151">
        <v>160.97</v>
      </c>
      <c r="I14" s="152">
        <v>-14.54</v>
      </c>
      <c r="J14" s="269">
        <v>446.01</v>
      </c>
      <c r="K14" s="58"/>
    </row>
    <row r="15" spans="2:14" ht="15.95" customHeight="1">
      <c r="B15" s="145" t="s">
        <v>264</v>
      </c>
      <c r="C15" s="146" t="s">
        <v>208</v>
      </c>
      <c r="D15" s="148">
        <v>15436</v>
      </c>
      <c r="E15" s="149">
        <v>1.0249999999999999</v>
      </c>
      <c r="F15" s="161">
        <v>58.95</v>
      </c>
      <c r="G15" s="150">
        <v>8.39</v>
      </c>
      <c r="H15" s="151">
        <v>178.87</v>
      </c>
      <c r="I15" s="152">
        <v>14.15</v>
      </c>
      <c r="J15" s="269">
        <v>372.13</v>
      </c>
      <c r="K15" s="58"/>
    </row>
    <row r="16" spans="2:14" ht="15.95" customHeight="1">
      <c r="B16" s="145" t="s">
        <v>264</v>
      </c>
      <c r="C16" s="146" t="s">
        <v>209</v>
      </c>
      <c r="D16" s="148">
        <v>15436</v>
      </c>
      <c r="E16" s="149">
        <v>1.0249999999999999</v>
      </c>
      <c r="F16" s="161">
        <v>58.95</v>
      </c>
      <c r="G16" s="150">
        <v>8.39</v>
      </c>
      <c r="H16" s="151">
        <v>178.87</v>
      </c>
      <c r="I16" s="152">
        <v>-14.15</v>
      </c>
      <c r="J16" s="269">
        <v>372.13</v>
      </c>
      <c r="K16" s="58"/>
    </row>
    <row r="17" spans="2:15" ht="15.95" customHeight="1">
      <c r="B17" s="145" t="s">
        <v>264</v>
      </c>
      <c r="C17" s="146" t="s">
        <v>211</v>
      </c>
      <c r="D17" s="148">
        <v>12944</v>
      </c>
      <c r="E17" s="149">
        <v>1.0249999999999999</v>
      </c>
      <c r="F17" s="161">
        <v>49.43</v>
      </c>
      <c r="G17" s="150">
        <v>11.97</v>
      </c>
      <c r="H17" s="151">
        <v>196.75</v>
      </c>
      <c r="I17" s="152">
        <v>13.09</v>
      </c>
      <c r="J17" s="269">
        <v>321.51</v>
      </c>
      <c r="K17" s="58"/>
    </row>
    <row r="18" spans="2:15" ht="15.95" customHeight="1">
      <c r="B18" s="145" t="s">
        <v>264</v>
      </c>
      <c r="C18" s="163" t="s">
        <v>210</v>
      </c>
      <c r="D18" s="153">
        <v>12944</v>
      </c>
      <c r="E18" s="154">
        <v>1.0249999999999999</v>
      </c>
      <c r="F18" s="162">
        <v>49.43</v>
      </c>
      <c r="G18" s="155">
        <v>11.97</v>
      </c>
      <c r="H18" s="156">
        <v>196.75</v>
      </c>
      <c r="I18" s="157">
        <v>-13.09</v>
      </c>
      <c r="J18" s="270">
        <v>321.5</v>
      </c>
      <c r="K18" s="59"/>
    </row>
    <row r="19" spans="2:15" ht="15.95" customHeight="1">
      <c r="B19" s="144" t="s">
        <v>58</v>
      </c>
      <c r="C19" s="147"/>
      <c r="D19" s="267">
        <f>SUM(D6:D18)</f>
        <v>167340</v>
      </c>
      <c r="E19" s="268"/>
      <c r="F19" s="59">
        <f>SUM(F6:F18)</f>
        <v>639.03</v>
      </c>
      <c r="G19" s="268"/>
      <c r="H19" s="268"/>
      <c r="I19" s="268"/>
      <c r="J19" s="59"/>
      <c r="K19" s="59"/>
    </row>
    <row r="20" spans="2:15" ht="18.75" customHeight="1">
      <c r="B20" s="143" t="s">
        <v>21</v>
      </c>
      <c r="C20" s="53"/>
      <c r="D20" s="166"/>
      <c r="E20" s="170"/>
      <c r="F20" s="164"/>
      <c r="G20" s="170"/>
      <c r="H20" s="170"/>
      <c r="I20" s="170"/>
      <c r="J20" s="168"/>
      <c r="K20" s="63"/>
      <c r="O20" s="594"/>
    </row>
    <row r="21" spans="2:15" ht="15.95" customHeight="1">
      <c r="B21" s="145" t="s">
        <v>45</v>
      </c>
      <c r="C21" s="146" t="s">
        <v>229</v>
      </c>
      <c r="D21" s="148">
        <v>10244</v>
      </c>
      <c r="E21" s="149">
        <v>0.87</v>
      </c>
      <c r="F21" s="161">
        <v>33.21</v>
      </c>
      <c r="G21" s="150">
        <v>13.17</v>
      </c>
      <c r="H21" s="151">
        <v>66.569999999999993</v>
      </c>
      <c r="I21" s="152">
        <v>15.28</v>
      </c>
      <c r="J21" s="58">
        <v>31.26</v>
      </c>
      <c r="K21" s="58">
        <v>31.26</v>
      </c>
      <c r="O21" s="594"/>
    </row>
    <row r="22" spans="2:15" ht="15.95" customHeight="1">
      <c r="B22" s="145" t="s">
        <v>45</v>
      </c>
      <c r="C22" s="146" t="s">
        <v>230</v>
      </c>
      <c r="D22" s="148">
        <v>9918</v>
      </c>
      <c r="E22" s="149">
        <v>0.87</v>
      </c>
      <c r="F22" s="161">
        <v>32.15</v>
      </c>
      <c r="G22" s="150">
        <v>13.09</v>
      </c>
      <c r="H22" s="151">
        <v>66.209999999999994</v>
      </c>
      <c r="I22" s="152">
        <v>-14.28</v>
      </c>
      <c r="J22" s="58">
        <v>31.68</v>
      </c>
      <c r="K22" s="58">
        <v>31.64</v>
      </c>
      <c r="O22" s="594"/>
    </row>
    <row r="23" spans="2:15" ht="15.95" customHeight="1">
      <c r="B23" s="145" t="s">
        <v>45</v>
      </c>
      <c r="C23" s="146" t="s">
        <v>232</v>
      </c>
      <c r="D23" s="148">
        <v>22432</v>
      </c>
      <c r="E23" s="149">
        <v>0.87</v>
      </c>
      <c r="F23" s="161">
        <v>72.709999999999994</v>
      </c>
      <c r="G23" s="150">
        <v>12.12</v>
      </c>
      <c r="H23" s="151">
        <v>143.13</v>
      </c>
      <c r="I23" s="152">
        <v>7.78</v>
      </c>
      <c r="J23" s="58">
        <v>120.91</v>
      </c>
      <c r="K23" s="58">
        <v>98.24</v>
      </c>
      <c r="O23" s="594"/>
    </row>
    <row r="24" spans="2:15" ht="15.95" customHeight="1">
      <c r="B24" s="145" t="s">
        <v>45</v>
      </c>
      <c r="C24" s="146" t="s">
        <v>233</v>
      </c>
      <c r="D24" s="148">
        <v>10462</v>
      </c>
      <c r="E24" s="149">
        <v>0.87</v>
      </c>
      <c r="F24" s="161">
        <v>33.909999999999997</v>
      </c>
      <c r="G24" s="150">
        <v>9.91</v>
      </c>
      <c r="H24" s="151">
        <v>144.91999999999999</v>
      </c>
      <c r="I24" s="152">
        <v>-7.62</v>
      </c>
      <c r="J24" s="58">
        <v>108.11</v>
      </c>
      <c r="K24" s="58">
        <v>26.87</v>
      </c>
      <c r="O24" s="594"/>
    </row>
    <row r="25" spans="2:15" ht="15.95" customHeight="1">
      <c r="B25" s="145" t="s">
        <v>45</v>
      </c>
      <c r="C25" s="146" t="s">
        <v>234</v>
      </c>
      <c r="D25" s="148">
        <v>33557</v>
      </c>
      <c r="E25" s="149">
        <v>0.87</v>
      </c>
      <c r="F25" s="161">
        <v>108.77</v>
      </c>
      <c r="G25" s="150">
        <v>11.67</v>
      </c>
      <c r="H25" s="151">
        <v>161.15</v>
      </c>
      <c r="I25" s="152">
        <v>0.1</v>
      </c>
      <c r="J25" s="58">
        <v>284.45</v>
      </c>
      <c r="K25" s="58">
        <v>284.45</v>
      </c>
      <c r="O25" s="594"/>
    </row>
    <row r="26" spans="2:15" ht="15.95" customHeight="1">
      <c r="B26" s="145" t="s">
        <v>45</v>
      </c>
      <c r="C26" s="146" t="s">
        <v>254</v>
      </c>
      <c r="D26" s="148">
        <v>17913</v>
      </c>
      <c r="E26" s="149">
        <v>0.87</v>
      </c>
      <c r="F26" s="161">
        <v>58.06</v>
      </c>
      <c r="G26" s="150">
        <v>12.19</v>
      </c>
      <c r="H26" s="151">
        <v>160.80000000000001</v>
      </c>
      <c r="I26" s="152">
        <v>15.36</v>
      </c>
      <c r="J26" s="58">
        <v>47.68</v>
      </c>
      <c r="K26" s="58">
        <v>47.68</v>
      </c>
      <c r="O26" s="594"/>
    </row>
    <row r="27" spans="2:15" ht="15.95" customHeight="1">
      <c r="B27" s="145" t="s">
        <v>45</v>
      </c>
      <c r="C27" s="146" t="s">
        <v>235</v>
      </c>
      <c r="D27" s="148">
        <v>17913</v>
      </c>
      <c r="E27" s="149">
        <v>0.87</v>
      </c>
      <c r="F27" s="161">
        <v>58.06</v>
      </c>
      <c r="G27" s="150">
        <v>12.19</v>
      </c>
      <c r="H27" s="151">
        <v>160.80000000000001</v>
      </c>
      <c r="I27" s="152">
        <v>-15.36</v>
      </c>
      <c r="J27" s="58">
        <v>47.68</v>
      </c>
      <c r="K27" s="58">
        <v>47.68</v>
      </c>
      <c r="O27" s="594"/>
    </row>
    <row r="28" spans="2:15" ht="15.95" customHeight="1">
      <c r="B28" s="145" t="s">
        <v>45</v>
      </c>
      <c r="C28" s="146" t="s">
        <v>255</v>
      </c>
      <c r="D28" s="148">
        <v>28311</v>
      </c>
      <c r="E28" s="149">
        <v>0.87</v>
      </c>
      <c r="F28" s="161">
        <v>91.76</v>
      </c>
      <c r="G28" s="150">
        <v>13.04</v>
      </c>
      <c r="H28" s="151">
        <v>178.46</v>
      </c>
      <c r="I28" s="152">
        <v>0</v>
      </c>
      <c r="J28" s="58">
        <v>286.58999999999997</v>
      </c>
      <c r="K28" s="58">
        <v>286.58999999999997</v>
      </c>
      <c r="O28" s="594"/>
    </row>
    <row r="29" spans="2:15" ht="15.95" customHeight="1">
      <c r="B29" s="145" t="s">
        <v>45</v>
      </c>
      <c r="C29" s="146" t="s">
        <v>236</v>
      </c>
      <c r="D29" s="148">
        <v>14097</v>
      </c>
      <c r="E29" s="149">
        <v>0.87</v>
      </c>
      <c r="F29" s="161">
        <v>45.69</v>
      </c>
      <c r="G29" s="150">
        <v>13.58</v>
      </c>
      <c r="H29" s="151">
        <v>178.4</v>
      </c>
      <c r="I29" s="152">
        <v>15.33</v>
      </c>
      <c r="J29" s="58">
        <v>47.68</v>
      </c>
      <c r="K29" s="58">
        <v>47.68</v>
      </c>
      <c r="O29" s="594"/>
    </row>
    <row r="30" spans="2:15" ht="15.95" customHeight="1">
      <c r="B30" s="145" t="s">
        <v>45</v>
      </c>
      <c r="C30" s="146" t="s">
        <v>237</v>
      </c>
      <c r="D30" s="148">
        <v>14097</v>
      </c>
      <c r="E30" s="149">
        <v>0.87</v>
      </c>
      <c r="F30" s="161">
        <v>45.69</v>
      </c>
      <c r="G30" s="150">
        <v>13.58</v>
      </c>
      <c r="H30" s="151">
        <v>178.4</v>
      </c>
      <c r="I30" s="152">
        <v>-15.33</v>
      </c>
      <c r="J30" s="58">
        <v>47.68</v>
      </c>
      <c r="K30" s="58">
        <v>47.68</v>
      </c>
      <c r="O30" s="594"/>
    </row>
    <row r="31" spans="2:15" ht="15.95" customHeight="1">
      <c r="B31" s="145" t="s">
        <v>267</v>
      </c>
      <c r="C31" s="146" t="s">
        <v>227</v>
      </c>
      <c r="D31" s="148">
        <v>3036</v>
      </c>
      <c r="E31" s="149">
        <v>0.87</v>
      </c>
      <c r="F31" s="161">
        <v>9.84</v>
      </c>
      <c r="G31" s="150">
        <v>13.19</v>
      </c>
      <c r="H31" s="151">
        <v>76.11</v>
      </c>
      <c r="I31" s="152">
        <v>-18.3</v>
      </c>
      <c r="J31" s="58">
        <v>1.99</v>
      </c>
      <c r="K31" s="58">
        <v>1.99</v>
      </c>
      <c r="O31" s="594"/>
    </row>
    <row r="32" spans="2:15" ht="15.95" customHeight="1">
      <c r="B32" s="145" t="s">
        <v>267</v>
      </c>
      <c r="C32" s="146" t="s">
        <v>228</v>
      </c>
      <c r="D32" s="148">
        <v>3451</v>
      </c>
      <c r="E32" s="149">
        <v>0.87</v>
      </c>
      <c r="F32" s="161">
        <v>11.18</v>
      </c>
      <c r="G32" s="150">
        <v>12.72</v>
      </c>
      <c r="H32" s="151">
        <v>77.05</v>
      </c>
      <c r="I32" s="152">
        <v>17.21</v>
      </c>
      <c r="J32" s="58">
        <v>4.0999999999999996</v>
      </c>
      <c r="K32" s="58">
        <v>4.0999999999999996</v>
      </c>
      <c r="O32" s="594"/>
    </row>
    <row r="33" spans="2:15" ht="15.95" customHeight="1">
      <c r="B33" s="145" t="s">
        <v>252</v>
      </c>
      <c r="C33" s="146" t="s">
        <v>231</v>
      </c>
      <c r="D33" s="148">
        <v>1510</v>
      </c>
      <c r="E33" s="149">
        <v>0.87</v>
      </c>
      <c r="F33" s="161">
        <v>4.8899999999999997</v>
      </c>
      <c r="G33" s="150">
        <v>11.92</v>
      </c>
      <c r="H33" s="151">
        <v>72.010000000000005</v>
      </c>
      <c r="I33" s="152">
        <v>11.98</v>
      </c>
      <c r="J33" s="171">
        <v>0.51</v>
      </c>
      <c r="K33" s="58">
        <v>0.51</v>
      </c>
      <c r="O33" s="594"/>
    </row>
    <row r="34" spans="2:15" ht="15.95" customHeight="1">
      <c r="B34" s="145" t="s">
        <v>252</v>
      </c>
      <c r="C34" s="146" t="s">
        <v>253</v>
      </c>
      <c r="D34" s="148">
        <v>1665</v>
      </c>
      <c r="E34" s="149">
        <v>0.87</v>
      </c>
      <c r="F34" s="161">
        <v>5.4</v>
      </c>
      <c r="G34" s="150">
        <v>11.2</v>
      </c>
      <c r="H34" s="151">
        <v>153.99</v>
      </c>
      <c r="I34" s="152">
        <v>-2</v>
      </c>
      <c r="J34" s="171">
        <v>0.51</v>
      </c>
      <c r="K34" s="58">
        <v>0.51</v>
      </c>
    </row>
    <row r="35" spans="2:15" ht="15.95" customHeight="1">
      <c r="B35" s="145" t="s">
        <v>243</v>
      </c>
      <c r="C35" s="146" t="s">
        <v>518</v>
      </c>
      <c r="D35" s="148">
        <v>130</v>
      </c>
      <c r="E35" s="149">
        <v>0.87</v>
      </c>
      <c r="F35" s="161">
        <v>0.42</v>
      </c>
      <c r="G35" s="150">
        <v>40.299999999999997</v>
      </c>
      <c r="H35" s="151">
        <v>137.55000000000001</v>
      </c>
      <c r="I35" s="152">
        <v>-11.12</v>
      </c>
      <c r="J35" s="171">
        <v>0.02</v>
      </c>
      <c r="K35" s="58">
        <v>0.02</v>
      </c>
    </row>
    <row r="36" spans="2:15" ht="15.95" customHeight="1">
      <c r="B36" s="145" t="s">
        <v>268</v>
      </c>
      <c r="C36" s="146" t="s">
        <v>519</v>
      </c>
      <c r="D36" s="148">
        <v>618</v>
      </c>
      <c r="E36" s="149">
        <v>0.87</v>
      </c>
      <c r="F36" s="161">
        <v>2</v>
      </c>
      <c r="G36" s="150">
        <v>41.56</v>
      </c>
      <c r="H36" s="151">
        <v>155.56</v>
      </c>
      <c r="I36" s="152">
        <v>-21.91</v>
      </c>
      <c r="J36" s="171">
        <v>0.1</v>
      </c>
      <c r="K36" s="58">
        <v>0.09</v>
      </c>
    </row>
    <row r="37" spans="2:15" ht="15.95" customHeight="1">
      <c r="B37" s="144" t="s">
        <v>57</v>
      </c>
      <c r="C37" s="147"/>
      <c r="D37" s="60">
        <f>SUM(D21:D36)</f>
        <v>189354</v>
      </c>
      <c r="E37" s="61"/>
      <c r="F37" s="62">
        <f>SUM(F21:F36)</f>
        <v>613.7399999999999</v>
      </c>
      <c r="G37" s="61"/>
      <c r="H37" s="61"/>
      <c r="I37" s="61"/>
      <c r="J37" s="62"/>
      <c r="K37" s="62"/>
    </row>
    <row r="38" spans="2:15" ht="18.75" customHeight="1">
      <c r="B38" s="143" t="s">
        <v>49</v>
      </c>
      <c r="C38" s="165"/>
      <c r="D38" s="166"/>
      <c r="E38" s="170"/>
      <c r="F38" s="164"/>
      <c r="G38" s="170"/>
      <c r="H38" s="170"/>
      <c r="I38" s="170"/>
      <c r="J38" s="168"/>
      <c r="K38" s="63"/>
    </row>
    <row r="39" spans="2:15" ht="15.95" customHeight="1">
      <c r="B39" s="145" t="s">
        <v>194</v>
      </c>
      <c r="C39" s="146" t="s">
        <v>212</v>
      </c>
      <c r="D39" s="148">
        <v>6407</v>
      </c>
      <c r="E39" s="149">
        <v>1</v>
      </c>
      <c r="F39" s="161">
        <v>23.87</v>
      </c>
      <c r="G39" s="150">
        <v>15.09</v>
      </c>
      <c r="H39" s="151">
        <v>49.94</v>
      </c>
      <c r="I39" s="152">
        <v>-13.69</v>
      </c>
      <c r="J39" s="171">
        <v>28.06</v>
      </c>
      <c r="K39" s="58"/>
    </row>
    <row r="40" spans="2:15" ht="15.95" customHeight="1">
      <c r="B40" s="145" t="s">
        <v>194</v>
      </c>
      <c r="C40" s="146" t="s">
        <v>213</v>
      </c>
      <c r="D40" s="148">
        <v>6407</v>
      </c>
      <c r="E40" s="149">
        <v>1</v>
      </c>
      <c r="F40" s="161">
        <v>23.87</v>
      </c>
      <c r="G40" s="150">
        <v>15.09</v>
      </c>
      <c r="H40" s="151">
        <v>49.94</v>
      </c>
      <c r="I40" s="152">
        <v>13.69</v>
      </c>
      <c r="J40" s="171">
        <v>28.06</v>
      </c>
      <c r="K40" s="58"/>
    </row>
    <row r="41" spans="2:15" ht="15.95" customHeight="1">
      <c r="B41" s="144" t="s">
        <v>60</v>
      </c>
      <c r="C41" s="147"/>
      <c r="D41" s="60">
        <f>SUM(D39:D40)</f>
        <v>12814</v>
      </c>
      <c r="E41" s="61"/>
      <c r="F41" s="62">
        <f>SUM(F39:F40)</f>
        <v>47.74</v>
      </c>
      <c r="G41" s="61"/>
      <c r="H41" s="61"/>
      <c r="I41" s="61"/>
      <c r="J41" s="62"/>
      <c r="K41" s="62"/>
    </row>
    <row r="42" spans="2:15" ht="18.75" customHeight="1">
      <c r="B42" s="143" t="s">
        <v>22</v>
      </c>
      <c r="C42" s="53"/>
      <c r="D42" s="56"/>
      <c r="E42" s="57"/>
      <c r="F42" s="58"/>
      <c r="G42" s="57"/>
      <c r="H42" s="57"/>
      <c r="I42" s="57"/>
      <c r="J42" s="63"/>
      <c r="K42" s="63"/>
    </row>
    <row r="43" spans="2:15" ht="15.95" customHeight="1">
      <c r="B43" s="145" t="s">
        <v>73</v>
      </c>
      <c r="C43" s="146" t="s">
        <v>245</v>
      </c>
      <c r="D43" s="148">
        <v>2250</v>
      </c>
      <c r="E43" s="149">
        <v>0.92400000000000004</v>
      </c>
      <c r="F43" s="161">
        <v>7.75</v>
      </c>
      <c r="G43" s="150">
        <v>11.96</v>
      </c>
      <c r="H43" s="151">
        <v>76.05</v>
      </c>
      <c r="I43" s="152">
        <v>-14.49</v>
      </c>
      <c r="J43" s="171">
        <v>0.46</v>
      </c>
      <c r="K43" s="58"/>
    </row>
    <row r="44" spans="2:15" ht="15.95" customHeight="1">
      <c r="B44" s="145" t="s">
        <v>269</v>
      </c>
      <c r="C44" s="146" t="s">
        <v>246</v>
      </c>
      <c r="D44" s="148">
        <v>1001</v>
      </c>
      <c r="E44" s="149">
        <v>0.92400000000000004</v>
      </c>
      <c r="F44" s="161">
        <v>3.45</v>
      </c>
      <c r="G44" s="150">
        <v>23.13</v>
      </c>
      <c r="H44" s="151">
        <v>207.35</v>
      </c>
      <c r="I44" s="152">
        <v>-19</v>
      </c>
      <c r="J44" s="171">
        <v>1.1299999999999999</v>
      </c>
      <c r="K44" s="58"/>
    </row>
    <row r="45" spans="2:15" ht="15.95" customHeight="1">
      <c r="B45" s="144" t="s">
        <v>56</v>
      </c>
      <c r="C45" s="147"/>
      <c r="D45" s="60">
        <f>SUM(D43:D44)</f>
        <v>3251</v>
      </c>
      <c r="E45" s="61"/>
      <c r="F45" s="62">
        <f>SUM(F43:F44)</f>
        <v>11.2</v>
      </c>
      <c r="G45" s="61"/>
      <c r="H45" s="61"/>
      <c r="I45" s="61"/>
      <c r="J45" s="62"/>
      <c r="K45" s="62"/>
    </row>
    <row r="46" spans="2:15" ht="18.75" customHeight="1">
      <c r="B46" s="143" t="s">
        <v>48</v>
      </c>
      <c r="C46" s="53"/>
      <c r="D46" s="56"/>
      <c r="E46" s="57"/>
      <c r="F46" s="58"/>
      <c r="G46" s="57"/>
      <c r="H46" s="57"/>
      <c r="I46" s="57"/>
      <c r="J46" s="63"/>
      <c r="K46" s="63"/>
    </row>
    <row r="47" spans="2:15" ht="15.95" customHeight="1">
      <c r="B47" s="145" t="s">
        <v>261</v>
      </c>
      <c r="C47" s="146" t="s">
        <v>251</v>
      </c>
      <c r="D47" s="148">
        <v>2467</v>
      </c>
      <c r="E47" s="149">
        <v>1.0149999999999999</v>
      </c>
      <c r="F47" s="161">
        <v>9.42</v>
      </c>
      <c r="G47" s="150">
        <v>12.02</v>
      </c>
      <c r="H47" s="151">
        <v>77.02</v>
      </c>
      <c r="I47" s="152">
        <v>11.98</v>
      </c>
      <c r="J47" s="171">
        <v>0.9</v>
      </c>
      <c r="K47" s="58"/>
    </row>
    <row r="48" spans="2:15" ht="15.95" customHeight="1">
      <c r="B48" s="197" t="s">
        <v>257</v>
      </c>
      <c r="C48" s="146" t="s">
        <v>247</v>
      </c>
      <c r="D48" s="148">
        <v>2467</v>
      </c>
      <c r="E48" s="149">
        <v>0.92400000000000004</v>
      </c>
      <c r="F48" s="161">
        <v>8.49</v>
      </c>
      <c r="G48" s="150">
        <v>12.02</v>
      </c>
      <c r="H48" s="151">
        <v>76.03</v>
      </c>
      <c r="I48" s="152">
        <v>-11.49</v>
      </c>
      <c r="J48" s="171">
        <v>0.46</v>
      </c>
      <c r="K48" s="58"/>
    </row>
    <row r="49" spans="2:11" ht="15.95" customHeight="1">
      <c r="B49" s="197" t="s">
        <v>258</v>
      </c>
      <c r="C49" s="146" t="s">
        <v>248</v>
      </c>
      <c r="D49" s="148">
        <v>1047</v>
      </c>
      <c r="E49" s="149">
        <v>0.92400000000000004</v>
      </c>
      <c r="F49" s="161">
        <v>3.61</v>
      </c>
      <c r="G49" s="150">
        <v>23.35</v>
      </c>
      <c r="H49" s="151">
        <v>189.34</v>
      </c>
      <c r="I49" s="152">
        <v>18.989999999999998</v>
      </c>
      <c r="J49" s="171">
        <v>1.1299999999999999</v>
      </c>
      <c r="K49" s="58"/>
    </row>
    <row r="50" spans="2:11" ht="15.95" customHeight="1">
      <c r="B50" s="197" t="s">
        <v>259</v>
      </c>
      <c r="C50" s="146" t="s">
        <v>249</v>
      </c>
      <c r="D50" s="148">
        <v>1795</v>
      </c>
      <c r="E50" s="149">
        <v>1.0249999999999999</v>
      </c>
      <c r="F50" s="161">
        <v>6.85</v>
      </c>
      <c r="G50" s="150">
        <v>7.46</v>
      </c>
      <c r="H50" s="151">
        <v>45.06</v>
      </c>
      <c r="I50" s="152">
        <v>0</v>
      </c>
      <c r="J50" s="171">
        <v>7.2</v>
      </c>
      <c r="K50" s="58"/>
    </row>
    <row r="51" spans="2:11" ht="15.95" customHeight="1">
      <c r="B51" s="145" t="s">
        <v>260</v>
      </c>
      <c r="C51" s="146" t="s">
        <v>250</v>
      </c>
      <c r="D51" s="148">
        <v>4081</v>
      </c>
      <c r="E51" s="149">
        <v>1.0249999999999999</v>
      </c>
      <c r="F51" s="161">
        <v>15.58</v>
      </c>
      <c r="G51" s="150">
        <v>7.11</v>
      </c>
      <c r="H51" s="151">
        <v>54.15</v>
      </c>
      <c r="I51" s="152">
        <v>0</v>
      </c>
      <c r="J51" s="171">
        <v>14.41</v>
      </c>
      <c r="K51" s="58"/>
    </row>
    <row r="52" spans="2:11" ht="15.95" customHeight="1">
      <c r="B52" s="145" t="s">
        <v>281</v>
      </c>
      <c r="C52" s="146" t="s">
        <v>520</v>
      </c>
      <c r="D52" s="148">
        <v>224</v>
      </c>
      <c r="E52" s="149">
        <v>1.0149999999999999</v>
      </c>
      <c r="F52" s="161">
        <v>0.86</v>
      </c>
      <c r="G52" s="150">
        <v>40.85</v>
      </c>
      <c r="H52" s="151">
        <v>129.22</v>
      </c>
      <c r="I52" s="152">
        <v>-19.48</v>
      </c>
      <c r="J52" s="171">
        <v>0.19</v>
      </c>
      <c r="K52" s="58"/>
    </row>
    <row r="53" spans="2:11" ht="15.95" customHeight="1">
      <c r="B53" s="144" t="s">
        <v>59</v>
      </c>
      <c r="C53" s="147"/>
      <c r="D53" s="60">
        <f>SUM(D47:D52)</f>
        <v>12081</v>
      </c>
      <c r="E53" s="61"/>
      <c r="F53" s="62">
        <f>SUM(F47:F52)</f>
        <v>44.809999999999995</v>
      </c>
      <c r="G53" s="61"/>
      <c r="H53" s="61"/>
      <c r="I53" s="61"/>
      <c r="J53" s="62"/>
      <c r="K53" s="62"/>
    </row>
    <row r="54" spans="2:11" ht="18.75" customHeight="1">
      <c r="B54" s="143" t="s">
        <v>24</v>
      </c>
      <c r="C54" s="53"/>
      <c r="D54" s="56"/>
      <c r="E54" s="57"/>
      <c r="F54" s="58"/>
      <c r="G54" s="57"/>
      <c r="H54" s="57"/>
      <c r="I54" s="57"/>
      <c r="J54" s="63"/>
      <c r="K54" s="63"/>
    </row>
    <row r="55" spans="2:11" ht="15.95" customHeight="1">
      <c r="B55" s="169" t="s">
        <v>270</v>
      </c>
      <c r="C55" s="163" t="s">
        <v>238</v>
      </c>
      <c r="D55" s="153">
        <v>28510</v>
      </c>
      <c r="E55" s="154">
        <v>1</v>
      </c>
      <c r="F55" s="162">
        <v>106.22</v>
      </c>
      <c r="G55" s="155">
        <v>8.42</v>
      </c>
      <c r="H55" s="156">
        <v>143.47999999999999</v>
      </c>
      <c r="I55" s="157">
        <v>0</v>
      </c>
      <c r="J55" s="158">
        <v>3304.4</v>
      </c>
      <c r="K55" s="59"/>
    </row>
    <row r="56" spans="2:11" ht="19.5" customHeight="1">
      <c r="B56" s="143" t="s">
        <v>271</v>
      </c>
      <c r="C56" s="53"/>
      <c r="D56" s="56"/>
      <c r="E56" s="57"/>
      <c r="F56" s="58"/>
      <c r="G56" s="57"/>
      <c r="H56" s="57"/>
      <c r="I56" s="57"/>
      <c r="J56" s="63"/>
      <c r="K56" s="63"/>
    </row>
    <row r="57" spans="2:11" ht="15">
      <c r="B57" s="169" t="s">
        <v>272</v>
      </c>
      <c r="C57" s="163" t="s">
        <v>273</v>
      </c>
      <c r="D57" s="153">
        <v>416</v>
      </c>
      <c r="E57" s="154">
        <v>1.0249999999999999</v>
      </c>
      <c r="F57" s="162">
        <v>1.59</v>
      </c>
      <c r="G57" s="155">
        <v>2.33</v>
      </c>
      <c r="H57" s="156">
        <v>128</v>
      </c>
      <c r="I57" s="157">
        <v>-2</v>
      </c>
      <c r="J57" s="158">
        <v>0.6</v>
      </c>
      <c r="K57" s="59"/>
    </row>
  </sheetData>
  <mergeCells count="1">
    <mergeCell ref="J2:K2"/>
  </mergeCells>
  <phoneticPr fontId="10" type="noConversion"/>
  <pageMargins left="0.75" right="0.75" top="1" bottom="1" header="0.5" footer="0.5"/>
  <pageSetup scale="71" orientation="portrait" r:id="rId1"/>
  <headerFooter alignWithMargins="0"/>
  <ignoredErrors>
    <ignoredError sqref="C6:C34 C37:C5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B2:I38"/>
  <sheetViews>
    <sheetView workbookViewId="0">
      <selection activeCell="L48" sqref="L48"/>
    </sheetView>
  </sheetViews>
  <sheetFormatPr defaultRowHeight="12.75"/>
  <cols>
    <col min="1" max="1" width="5.6640625" style="94" customWidth="1"/>
    <col min="2" max="2" width="30.83203125" style="94" customWidth="1"/>
    <col min="3" max="3" width="13.83203125" style="94" customWidth="1"/>
    <col min="4" max="4" width="9.83203125" style="183" customWidth="1"/>
    <col min="5" max="5" width="9.83203125" style="94" customWidth="1"/>
    <col min="6" max="8" width="11.83203125" style="94" customWidth="1"/>
    <col min="9" max="249" width="9.33203125" style="94"/>
    <col min="250" max="250" width="30.83203125" style="94" customWidth="1"/>
    <col min="251" max="251" width="13.83203125" style="94" customWidth="1"/>
    <col min="252" max="253" width="9.83203125" style="94" customWidth="1"/>
    <col min="254" max="256" width="11.83203125" style="94" customWidth="1"/>
    <col min="257" max="505" width="9.33203125" style="94"/>
    <col min="506" max="506" width="30.83203125" style="94" customWidth="1"/>
    <col min="507" max="507" width="13.83203125" style="94" customWidth="1"/>
    <col min="508" max="509" width="9.83203125" style="94" customWidth="1"/>
    <col min="510" max="512" width="11.83203125" style="94" customWidth="1"/>
    <col min="513" max="761" width="9.33203125" style="94"/>
    <col min="762" max="762" width="30.83203125" style="94" customWidth="1"/>
    <col min="763" max="763" width="13.83203125" style="94" customWidth="1"/>
    <col min="764" max="765" width="9.83203125" style="94" customWidth="1"/>
    <col min="766" max="768" width="11.83203125" style="94" customWidth="1"/>
    <col min="769" max="1017" width="9.33203125" style="94"/>
    <col min="1018" max="1018" width="30.83203125" style="94" customWidth="1"/>
    <col min="1019" max="1019" width="13.83203125" style="94" customWidth="1"/>
    <col min="1020" max="1021" width="9.83203125" style="94" customWidth="1"/>
    <col min="1022" max="1024" width="11.83203125" style="94" customWidth="1"/>
    <col min="1025" max="1273" width="9.33203125" style="94"/>
    <col min="1274" max="1274" width="30.83203125" style="94" customWidth="1"/>
    <col min="1275" max="1275" width="13.83203125" style="94" customWidth="1"/>
    <col min="1276" max="1277" width="9.83203125" style="94" customWidth="1"/>
    <col min="1278" max="1280" width="11.83203125" style="94" customWidth="1"/>
    <col min="1281" max="1529" width="9.33203125" style="94"/>
    <col min="1530" max="1530" width="30.83203125" style="94" customWidth="1"/>
    <col min="1531" max="1531" width="13.83203125" style="94" customWidth="1"/>
    <col min="1532" max="1533" width="9.83203125" style="94" customWidth="1"/>
    <col min="1534" max="1536" width="11.83203125" style="94" customWidth="1"/>
    <col min="1537" max="1785" width="9.33203125" style="94"/>
    <col min="1786" max="1786" width="30.83203125" style="94" customWidth="1"/>
    <col min="1787" max="1787" width="13.83203125" style="94" customWidth="1"/>
    <col min="1788" max="1789" width="9.83203125" style="94" customWidth="1"/>
    <col min="1790" max="1792" width="11.83203125" style="94" customWidth="1"/>
    <col min="1793" max="2041" width="9.33203125" style="94"/>
    <col min="2042" max="2042" width="30.83203125" style="94" customWidth="1"/>
    <col min="2043" max="2043" width="13.83203125" style="94" customWidth="1"/>
    <col min="2044" max="2045" width="9.83203125" style="94" customWidth="1"/>
    <col min="2046" max="2048" width="11.83203125" style="94" customWidth="1"/>
    <col min="2049" max="2297" width="9.33203125" style="94"/>
    <col min="2298" max="2298" width="30.83203125" style="94" customWidth="1"/>
    <col min="2299" max="2299" width="13.83203125" style="94" customWidth="1"/>
    <col min="2300" max="2301" width="9.83203125" style="94" customWidth="1"/>
    <col min="2302" max="2304" width="11.83203125" style="94" customWidth="1"/>
    <col min="2305" max="2553" width="9.33203125" style="94"/>
    <col min="2554" max="2554" width="30.83203125" style="94" customWidth="1"/>
    <col min="2555" max="2555" width="13.83203125" style="94" customWidth="1"/>
    <col min="2556" max="2557" width="9.83203125" style="94" customWidth="1"/>
    <col min="2558" max="2560" width="11.83203125" style="94" customWidth="1"/>
    <col min="2561" max="2809" width="9.33203125" style="94"/>
    <col min="2810" max="2810" width="30.83203125" style="94" customWidth="1"/>
    <col min="2811" max="2811" width="13.83203125" style="94" customWidth="1"/>
    <col min="2812" max="2813" width="9.83203125" style="94" customWidth="1"/>
    <col min="2814" max="2816" width="11.83203125" style="94" customWidth="1"/>
    <col min="2817" max="3065" width="9.33203125" style="94"/>
    <col min="3066" max="3066" width="30.83203125" style="94" customWidth="1"/>
    <col min="3067" max="3067" width="13.83203125" style="94" customWidth="1"/>
    <col min="3068" max="3069" width="9.83203125" style="94" customWidth="1"/>
    <col min="3070" max="3072" width="11.83203125" style="94" customWidth="1"/>
    <col min="3073" max="3321" width="9.33203125" style="94"/>
    <col min="3322" max="3322" width="30.83203125" style="94" customWidth="1"/>
    <col min="3323" max="3323" width="13.83203125" style="94" customWidth="1"/>
    <col min="3324" max="3325" width="9.83203125" style="94" customWidth="1"/>
    <col min="3326" max="3328" width="11.83203125" style="94" customWidth="1"/>
    <col min="3329" max="3577" width="9.33203125" style="94"/>
    <col min="3578" max="3578" width="30.83203125" style="94" customWidth="1"/>
    <col min="3579" max="3579" width="13.83203125" style="94" customWidth="1"/>
    <col min="3580" max="3581" width="9.83203125" style="94" customWidth="1"/>
    <col min="3582" max="3584" width="11.83203125" style="94" customWidth="1"/>
    <col min="3585" max="3833" width="9.33203125" style="94"/>
    <col min="3834" max="3834" width="30.83203125" style="94" customWidth="1"/>
    <col min="3835" max="3835" width="13.83203125" style="94" customWidth="1"/>
    <col min="3836" max="3837" width="9.83203125" style="94" customWidth="1"/>
    <col min="3838" max="3840" width="11.83203125" style="94" customWidth="1"/>
    <col min="3841" max="4089" width="9.33203125" style="94"/>
    <col min="4090" max="4090" width="30.83203125" style="94" customWidth="1"/>
    <col min="4091" max="4091" width="13.83203125" style="94" customWidth="1"/>
    <col min="4092" max="4093" width="9.83203125" style="94" customWidth="1"/>
    <col min="4094" max="4096" width="11.83203125" style="94" customWidth="1"/>
    <col min="4097" max="4345" width="9.33203125" style="94"/>
    <col min="4346" max="4346" width="30.83203125" style="94" customWidth="1"/>
    <col min="4347" max="4347" width="13.83203125" style="94" customWidth="1"/>
    <col min="4348" max="4349" width="9.83203125" style="94" customWidth="1"/>
    <col min="4350" max="4352" width="11.83203125" style="94" customWidth="1"/>
    <col min="4353" max="4601" width="9.33203125" style="94"/>
    <col min="4602" max="4602" width="30.83203125" style="94" customWidth="1"/>
    <col min="4603" max="4603" width="13.83203125" style="94" customWidth="1"/>
    <col min="4604" max="4605" width="9.83203125" style="94" customWidth="1"/>
    <col min="4606" max="4608" width="11.83203125" style="94" customWidth="1"/>
    <col min="4609" max="4857" width="9.33203125" style="94"/>
    <col min="4858" max="4858" width="30.83203125" style="94" customWidth="1"/>
    <col min="4859" max="4859" width="13.83203125" style="94" customWidth="1"/>
    <col min="4860" max="4861" width="9.83203125" style="94" customWidth="1"/>
    <col min="4862" max="4864" width="11.83203125" style="94" customWidth="1"/>
    <col min="4865" max="5113" width="9.33203125" style="94"/>
    <col min="5114" max="5114" width="30.83203125" style="94" customWidth="1"/>
    <col min="5115" max="5115" width="13.83203125" style="94" customWidth="1"/>
    <col min="5116" max="5117" width="9.83203125" style="94" customWidth="1"/>
    <col min="5118" max="5120" width="11.83203125" style="94" customWidth="1"/>
    <col min="5121" max="5369" width="9.33203125" style="94"/>
    <col min="5370" max="5370" width="30.83203125" style="94" customWidth="1"/>
    <col min="5371" max="5371" width="13.83203125" style="94" customWidth="1"/>
    <col min="5372" max="5373" width="9.83203125" style="94" customWidth="1"/>
    <col min="5374" max="5376" width="11.83203125" style="94" customWidth="1"/>
    <col min="5377" max="5625" width="9.33203125" style="94"/>
    <col min="5626" max="5626" width="30.83203125" style="94" customWidth="1"/>
    <col min="5627" max="5627" width="13.83203125" style="94" customWidth="1"/>
    <col min="5628" max="5629" width="9.83203125" style="94" customWidth="1"/>
    <col min="5630" max="5632" width="11.83203125" style="94" customWidth="1"/>
    <col min="5633" max="5881" width="9.33203125" style="94"/>
    <col min="5882" max="5882" width="30.83203125" style="94" customWidth="1"/>
    <col min="5883" max="5883" width="13.83203125" style="94" customWidth="1"/>
    <col min="5884" max="5885" width="9.83203125" style="94" customWidth="1"/>
    <col min="5886" max="5888" width="11.83203125" style="94" customWidth="1"/>
    <col min="5889" max="6137" width="9.33203125" style="94"/>
    <col min="6138" max="6138" width="30.83203125" style="94" customWidth="1"/>
    <col min="6139" max="6139" width="13.83203125" style="94" customWidth="1"/>
    <col min="6140" max="6141" width="9.83203125" style="94" customWidth="1"/>
    <col min="6142" max="6144" width="11.83203125" style="94" customWidth="1"/>
    <col min="6145" max="6393" width="9.33203125" style="94"/>
    <col min="6394" max="6394" width="30.83203125" style="94" customWidth="1"/>
    <col min="6395" max="6395" width="13.83203125" style="94" customWidth="1"/>
    <col min="6396" max="6397" width="9.83203125" style="94" customWidth="1"/>
    <col min="6398" max="6400" width="11.83203125" style="94" customWidth="1"/>
    <col min="6401" max="6649" width="9.33203125" style="94"/>
    <col min="6650" max="6650" width="30.83203125" style="94" customWidth="1"/>
    <col min="6651" max="6651" width="13.83203125" style="94" customWidth="1"/>
    <col min="6652" max="6653" width="9.83203125" style="94" customWidth="1"/>
    <col min="6654" max="6656" width="11.83203125" style="94" customWidth="1"/>
    <col min="6657" max="6905" width="9.33203125" style="94"/>
    <col min="6906" max="6906" width="30.83203125" style="94" customWidth="1"/>
    <col min="6907" max="6907" width="13.83203125" style="94" customWidth="1"/>
    <col min="6908" max="6909" width="9.83203125" style="94" customWidth="1"/>
    <col min="6910" max="6912" width="11.83203125" style="94" customWidth="1"/>
    <col min="6913" max="7161" width="9.33203125" style="94"/>
    <col min="7162" max="7162" width="30.83203125" style="94" customWidth="1"/>
    <col min="7163" max="7163" width="13.83203125" style="94" customWidth="1"/>
    <col min="7164" max="7165" width="9.83203125" style="94" customWidth="1"/>
    <col min="7166" max="7168" width="11.83203125" style="94" customWidth="1"/>
    <col min="7169" max="7417" width="9.33203125" style="94"/>
    <col min="7418" max="7418" width="30.83203125" style="94" customWidth="1"/>
    <col min="7419" max="7419" width="13.83203125" style="94" customWidth="1"/>
    <col min="7420" max="7421" width="9.83203125" style="94" customWidth="1"/>
    <col min="7422" max="7424" width="11.83203125" style="94" customWidth="1"/>
    <col min="7425" max="7673" width="9.33203125" style="94"/>
    <col min="7674" max="7674" width="30.83203125" style="94" customWidth="1"/>
    <col min="7675" max="7675" width="13.83203125" style="94" customWidth="1"/>
    <col min="7676" max="7677" width="9.83203125" style="94" customWidth="1"/>
    <col min="7678" max="7680" width="11.83203125" style="94" customWidth="1"/>
    <col min="7681" max="7929" width="9.33203125" style="94"/>
    <col min="7930" max="7930" width="30.83203125" style="94" customWidth="1"/>
    <col min="7931" max="7931" width="13.83203125" style="94" customWidth="1"/>
    <col min="7932" max="7933" width="9.83203125" style="94" customWidth="1"/>
    <col min="7934" max="7936" width="11.83203125" style="94" customWidth="1"/>
    <col min="7937" max="8185" width="9.33203125" style="94"/>
    <col min="8186" max="8186" width="30.83203125" style="94" customWidth="1"/>
    <col min="8187" max="8187" width="13.83203125" style="94" customWidth="1"/>
    <col min="8188" max="8189" width="9.83203125" style="94" customWidth="1"/>
    <col min="8190" max="8192" width="11.83203125" style="94" customWidth="1"/>
    <col min="8193" max="8441" width="9.33203125" style="94"/>
    <col min="8442" max="8442" width="30.83203125" style="94" customWidth="1"/>
    <col min="8443" max="8443" width="13.83203125" style="94" customWidth="1"/>
    <col min="8444" max="8445" width="9.83203125" style="94" customWidth="1"/>
    <col min="8446" max="8448" width="11.83203125" style="94" customWidth="1"/>
    <col min="8449" max="8697" width="9.33203125" style="94"/>
    <col min="8698" max="8698" width="30.83203125" style="94" customWidth="1"/>
    <col min="8699" max="8699" width="13.83203125" style="94" customWidth="1"/>
    <col min="8700" max="8701" width="9.83203125" style="94" customWidth="1"/>
    <col min="8702" max="8704" width="11.83203125" style="94" customWidth="1"/>
    <col min="8705" max="8953" width="9.33203125" style="94"/>
    <col min="8954" max="8954" width="30.83203125" style="94" customWidth="1"/>
    <col min="8955" max="8955" width="13.83203125" style="94" customWidth="1"/>
    <col min="8956" max="8957" width="9.83203125" style="94" customWidth="1"/>
    <col min="8958" max="8960" width="11.83203125" style="94" customWidth="1"/>
    <col min="8961" max="9209" width="9.33203125" style="94"/>
    <col min="9210" max="9210" width="30.83203125" style="94" customWidth="1"/>
    <col min="9211" max="9211" width="13.83203125" style="94" customWidth="1"/>
    <col min="9212" max="9213" width="9.83203125" style="94" customWidth="1"/>
    <col min="9214" max="9216" width="11.83203125" style="94" customWidth="1"/>
    <col min="9217" max="9465" width="9.33203125" style="94"/>
    <col min="9466" max="9466" width="30.83203125" style="94" customWidth="1"/>
    <col min="9467" max="9467" width="13.83203125" style="94" customWidth="1"/>
    <col min="9468" max="9469" width="9.83203125" style="94" customWidth="1"/>
    <col min="9470" max="9472" width="11.83203125" style="94" customWidth="1"/>
    <col min="9473" max="9721" width="9.33203125" style="94"/>
    <col min="9722" max="9722" width="30.83203125" style="94" customWidth="1"/>
    <col min="9723" max="9723" width="13.83203125" style="94" customWidth="1"/>
    <col min="9724" max="9725" width="9.83203125" style="94" customWidth="1"/>
    <col min="9726" max="9728" width="11.83203125" style="94" customWidth="1"/>
    <col min="9729" max="9977" width="9.33203125" style="94"/>
    <col min="9978" max="9978" width="30.83203125" style="94" customWidth="1"/>
    <col min="9979" max="9979" width="13.83203125" style="94" customWidth="1"/>
    <col min="9980" max="9981" width="9.83203125" style="94" customWidth="1"/>
    <col min="9982" max="9984" width="11.83203125" style="94" customWidth="1"/>
    <col min="9985" max="10233" width="9.33203125" style="94"/>
    <col min="10234" max="10234" width="30.83203125" style="94" customWidth="1"/>
    <col min="10235" max="10235" width="13.83203125" style="94" customWidth="1"/>
    <col min="10236" max="10237" width="9.83203125" style="94" customWidth="1"/>
    <col min="10238" max="10240" width="11.83203125" style="94" customWidth="1"/>
    <col min="10241" max="10489" width="9.33203125" style="94"/>
    <col min="10490" max="10490" width="30.83203125" style="94" customWidth="1"/>
    <col min="10491" max="10491" width="13.83203125" style="94" customWidth="1"/>
    <col min="10492" max="10493" width="9.83203125" style="94" customWidth="1"/>
    <col min="10494" max="10496" width="11.83203125" style="94" customWidth="1"/>
    <col min="10497" max="10745" width="9.33203125" style="94"/>
    <col min="10746" max="10746" width="30.83203125" style="94" customWidth="1"/>
    <col min="10747" max="10747" width="13.83203125" style="94" customWidth="1"/>
    <col min="10748" max="10749" width="9.83203125" style="94" customWidth="1"/>
    <col min="10750" max="10752" width="11.83203125" style="94" customWidth="1"/>
    <col min="10753" max="11001" width="9.33203125" style="94"/>
    <col min="11002" max="11002" width="30.83203125" style="94" customWidth="1"/>
    <col min="11003" max="11003" width="13.83203125" style="94" customWidth="1"/>
    <col min="11004" max="11005" width="9.83203125" style="94" customWidth="1"/>
    <col min="11006" max="11008" width="11.83203125" style="94" customWidth="1"/>
    <col min="11009" max="11257" width="9.33203125" style="94"/>
    <col min="11258" max="11258" width="30.83203125" style="94" customWidth="1"/>
    <col min="11259" max="11259" width="13.83203125" style="94" customWidth="1"/>
    <col min="11260" max="11261" width="9.83203125" style="94" customWidth="1"/>
    <col min="11262" max="11264" width="11.83203125" style="94" customWidth="1"/>
    <col min="11265" max="11513" width="9.33203125" style="94"/>
    <col min="11514" max="11514" width="30.83203125" style="94" customWidth="1"/>
    <col min="11515" max="11515" width="13.83203125" style="94" customWidth="1"/>
    <col min="11516" max="11517" width="9.83203125" style="94" customWidth="1"/>
    <col min="11518" max="11520" width="11.83203125" style="94" customWidth="1"/>
    <col min="11521" max="11769" width="9.33203125" style="94"/>
    <col min="11770" max="11770" width="30.83203125" style="94" customWidth="1"/>
    <col min="11771" max="11771" width="13.83203125" style="94" customWidth="1"/>
    <col min="11772" max="11773" width="9.83203125" style="94" customWidth="1"/>
    <col min="11774" max="11776" width="11.83203125" style="94" customWidth="1"/>
    <col min="11777" max="12025" width="9.33203125" style="94"/>
    <col min="12026" max="12026" width="30.83203125" style="94" customWidth="1"/>
    <col min="12027" max="12027" width="13.83203125" style="94" customWidth="1"/>
    <col min="12028" max="12029" width="9.83203125" style="94" customWidth="1"/>
    <col min="12030" max="12032" width="11.83203125" style="94" customWidth="1"/>
    <col min="12033" max="12281" width="9.33203125" style="94"/>
    <col min="12282" max="12282" width="30.83203125" style="94" customWidth="1"/>
    <col min="12283" max="12283" width="13.83203125" style="94" customWidth="1"/>
    <col min="12284" max="12285" width="9.83203125" style="94" customWidth="1"/>
    <col min="12286" max="12288" width="11.83203125" style="94" customWidth="1"/>
    <col min="12289" max="12537" width="9.33203125" style="94"/>
    <col min="12538" max="12538" width="30.83203125" style="94" customWidth="1"/>
    <col min="12539" max="12539" width="13.83203125" style="94" customWidth="1"/>
    <col min="12540" max="12541" width="9.83203125" style="94" customWidth="1"/>
    <col min="12542" max="12544" width="11.83203125" style="94" customWidth="1"/>
    <col min="12545" max="12793" width="9.33203125" style="94"/>
    <col min="12794" max="12794" width="30.83203125" style="94" customWidth="1"/>
    <col min="12795" max="12795" width="13.83203125" style="94" customWidth="1"/>
    <col min="12796" max="12797" width="9.83203125" style="94" customWidth="1"/>
    <col min="12798" max="12800" width="11.83203125" style="94" customWidth="1"/>
    <col min="12801" max="13049" width="9.33203125" style="94"/>
    <col min="13050" max="13050" width="30.83203125" style="94" customWidth="1"/>
    <col min="13051" max="13051" width="13.83203125" style="94" customWidth="1"/>
    <col min="13052" max="13053" width="9.83203125" style="94" customWidth="1"/>
    <col min="13054" max="13056" width="11.83203125" style="94" customWidth="1"/>
    <col min="13057" max="13305" width="9.33203125" style="94"/>
    <col min="13306" max="13306" width="30.83203125" style="94" customWidth="1"/>
    <col min="13307" max="13307" width="13.83203125" style="94" customWidth="1"/>
    <col min="13308" max="13309" width="9.83203125" style="94" customWidth="1"/>
    <col min="13310" max="13312" width="11.83203125" style="94" customWidth="1"/>
    <col min="13313" max="13561" width="9.33203125" style="94"/>
    <col min="13562" max="13562" width="30.83203125" style="94" customWidth="1"/>
    <col min="13563" max="13563" width="13.83203125" style="94" customWidth="1"/>
    <col min="13564" max="13565" width="9.83203125" style="94" customWidth="1"/>
    <col min="13566" max="13568" width="11.83203125" style="94" customWidth="1"/>
    <col min="13569" max="13817" width="9.33203125" style="94"/>
    <col min="13818" max="13818" width="30.83203125" style="94" customWidth="1"/>
    <col min="13819" max="13819" width="13.83203125" style="94" customWidth="1"/>
    <col min="13820" max="13821" width="9.83203125" style="94" customWidth="1"/>
    <col min="13822" max="13824" width="11.83203125" style="94" customWidth="1"/>
    <col min="13825" max="14073" width="9.33203125" style="94"/>
    <col min="14074" max="14074" width="30.83203125" style="94" customWidth="1"/>
    <col min="14075" max="14075" width="13.83203125" style="94" customWidth="1"/>
    <col min="14076" max="14077" width="9.83203125" style="94" customWidth="1"/>
    <col min="14078" max="14080" width="11.83203125" style="94" customWidth="1"/>
    <col min="14081" max="14329" width="9.33203125" style="94"/>
    <col min="14330" max="14330" width="30.83203125" style="94" customWidth="1"/>
    <col min="14331" max="14331" width="13.83203125" style="94" customWidth="1"/>
    <col min="14332" max="14333" width="9.83203125" style="94" customWidth="1"/>
    <col min="14334" max="14336" width="11.83203125" style="94" customWidth="1"/>
    <col min="14337" max="14585" width="9.33203125" style="94"/>
    <col min="14586" max="14586" width="30.83203125" style="94" customWidth="1"/>
    <col min="14587" max="14587" width="13.83203125" style="94" customWidth="1"/>
    <col min="14588" max="14589" width="9.83203125" style="94" customWidth="1"/>
    <col min="14590" max="14592" width="11.83203125" style="94" customWidth="1"/>
    <col min="14593" max="14841" width="9.33203125" style="94"/>
    <col min="14842" max="14842" width="30.83203125" style="94" customWidth="1"/>
    <col min="14843" max="14843" width="13.83203125" style="94" customWidth="1"/>
    <col min="14844" max="14845" width="9.83203125" style="94" customWidth="1"/>
    <col min="14846" max="14848" width="11.83203125" style="94" customWidth="1"/>
    <col min="14849" max="15097" width="9.33203125" style="94"/>
    <col min="15098" max="15098" width="30.83203125" style="94" customWidth="1"/>
    <col min="15099" max="15099" width="13.83203125" style="94" customWidth="1"/>
    <col min="15100" max="15101" width="9.83203125" style="94" customWidth="1"/>
    <col min="15102" max="15104" width="11.83203125" style="94" customWidth="1"/>
    <col min="15105" max="15353" width="9.33203125" style="94"/>
    <col min="15354" max="15354" width="30.83203125" style="94" customWidth="1"/>
    <col min="15355" max="15355" width="13.83203125" style="94" customWidth="1"/>
    <col min="15356" max="15357" width="9.83203125" style="94" customWidth="1"/>
    <col min="15358" max="15360" width="11.83203125" style="94" customWidth="1"/>
    <col min="15361" max="15609" width="9.33203125" style="94"/>
    <col min="15610" max="15610" width="30.83203125" style="94" customWidth="1"/>
    <col min="15611" max="15611" width="13.83203125" style="94" customWidth="1"/>
    <col min="15612" max="15613" width="9.83203125" style="94" customWidth="1"/>
    <col min="15614" max="15616" width="11.83203125" style="94" customWidth="1"/>
    <col min="15617" max="15865" width="9.33203125" style="94"/>
    <col min="15866" max="15866" width="30.83203125" style="94" customWidth="1"/>
    <col min="15867" max="15867" width="13.83203125" style="94" customWidth="1"/>
    <col min="15868" max="15869" width="9.83203125" style="94" customWidth="1"/>
    <col min="15870" max="15872" width="11.83203125" style="94" customWidth="1"/>
    <col min="15873" max="16121" width="9.33203125" style="94"/>
    <col min="16122" max="16122" width="30.83203125" style="94" customWidth="1"/>
    <col min="16123" max="16123" width="13.83203125" style="94" customWidth="1"/>
    <col min="16124" max="16125" width="9.83203125" style="94" customWidth="1"/>
    <col min="16126" max="16128" width="11.83203125" style="94" customWidth="1"/>
    <col min="16129" max="16384" width="9.33203125" style="94"/>
  </cols>
  <sheetData>
    <row r="2" spans="2:9" ht="14.1" customHeight="1">
      <c r="B2" s="92" t="s">
        <v>157</v>
      </c>
      <c r="C2" s="93" t="s">
        <v>40</v>
      </c>
      <c r="D2" s="564" t="s">
        <v>508</v>
      </c>
      <c r="E2" s="93" t="s">
        <v>39</v>
      </c>
      <c r="F2" s="93" t="s">
        <v>16</v>
      </c>
      <c r="G2" s="93" t="s">
        <v>42</v>
      </c>
      <c r="H2" s="93" t="s">
        <v>43</v>
      </c>
    </row>
    <row r="3" spans="2:9" ht="15.75">
      <c r="B3" s="95"/>
      <c r="C3" s="96" t="s">
        <v>158</v>
      </c>
      <c r="D3" s="565" t="s">
        <v>509</v>
      </c>
      <c r="E3" s="96" t="s">
        <v>159</v>
      </c>
      <c r="F3" s="96" t="s">
        <v>416</v>
      </c>
      <c r="G3" s="96" t="s">
        <v>417</v>
      </c>
      <c r="H3" s="96" t="s">
        <v>418</v>
      </c>
    </row>
    <row r="4" spans="2:9" ht="14.1" customHeight="1">
      <c r="B4" s="318" t="s">
        <v>344</v>
      </c>
      <c r="C4" s="323"/>
      <c r="D4" s="566"/>
      <c r="E4" s="181"/>
      <c r="F4" s="181"/>
      <c r="G4" s="181"/>
      <c r="H4" s="181"/>
    </row>
    <row r="5" spans="2:9" ht="14.1" customHeight="1">
      <c r="B5" s="321" t="s">
        <v>506</v>
      </c>
      <c r="C5" s="324" t="s">
        <v>364</v>
      </c>
      <c r="D5" s="567">
        <v>4224</v>
      </c>
      <c r="E5" s="324" t="s">
        <v>391</v>
      </c>
      <c r="F5" s="98">
        <v>14.5</v>
      </c>
      <c r="G5" s="98">
        <v>72</v>
      </c>
      <c r="H5" s="98">
        <v>0</v>
      </c>
    </row>
    <row r="6" spans="2:9" ht="14.1" customHeight="1">
      <c r="B6" s="318" t="s">
        <v>345</v>
      </c>
      <c r="C6" s="323"/>
      <c r="D6" s="569"/>
      <c r="E6" s="323"/>
      <c r="F6" s="182"/>
      <c r="G6" s="182"/>
      <c r="H6" s="182"/>
    </row>
    <row r="7" spans="2:9" ht="14.1" customHeight="1">
      <c r="B7" s="319" t="s">
        <v>156</v>
      </c>
      <c r="C7" s="325" t="s">
        <v>161</v>
      </c>
      <c r="D7" s="568">
        <v>576</v>
      </c>
      <c r="E7" s="325" t="s">
        <v>163</v>
      </c>
      <c r="F7" s="97">
        <v>23.5</v>
      </c>
      <c r="G7" s="97">
        <v>18</v>
      </c>
      <c r="H7" s="97">
        <v>0</v>
      </c>
    </row>
    <row r="8" spans="2:9" ht="14.1" customHeight="1">
      <c r="B8" s="319" t="s">
        <v>92</v>
      </c>
      <c r="C8" s="325" t="s">
        <v>365</v>
      </c>
      <c r="D8" s="568">
        <v>3961</v>
      </c>
      <c r="E8" s="325" t="s">
        <v>392</v>
      </c>
      <c r="F8" s="97">
        <v>23.5</v>
      </c>
      <c r="G8" s="97">
        <v>32</v>
      </c>
      <c r="H8" s="97">
        <v>-12.5</v>
      </c>
      <c r="I8" s="183"/>
    </row>
    <row r="9" spans="2:9" ht="14.1" customHeight="1">
      <c r="B9" s="319" t="s">
        <v>160</v>
      </c>
      <c r="C9" s="325" t="s">
        <v>162</v>
      </c>
      <c r="D9" s="568">
        <v>3582</v>
      </c>
      <c r="E9" s="325" t="s">
        <v>392</v>
      </c>
      <c r="F9" s="97">
        <v>23.5</v>
      </c>
      <c r="G9" s="97">
        <v>30</v>
      </c>
      <c r="H9" s="97">
        <v>12</v>
      </c>
      <c r="I9" s="183"/>
    </row>
    <row r="10" spans="2:9" ht="14.1" customHeight="1">
      <c r="B10" s="319" t="s">
        <v>346</v>
      </c>
      <c r="C10" s="325" t="s">
        <v>366</v>
      </c>
      <c r="D10" s="568">
        <v>1190</v>
      </c>
      <c r="E10" s="325" t="s">
        <v>393</v>
      </c>
      <c r="F10" s="97">
        <v>23.5</v>
      </c>
      <c r="G10" s="97">
        <v>47</v>
      </c>
      <c r="H10" s="97">
        <v>17</v>
      </c>
      <c r="I10" s="183"/>
    </row>
    <row r="11" spans="2:9" ht="14.1" customHeight="1">
      <c r="B11" s="319" t="s">
        <v>347</v>
      </c>
      <c r="C11" s="325" t="s">
        <v>367</v>
      </c>
      <c r="D11" s="568">
        <v>1073</v>
      </c>
      <c r="E11" s="325" t="s">
        <v>394</v>
      </c>
      <c r="F11" s="97">
        <v>23.5</v>
      </c>
      <c r="G11" s="97">
        <v>55</v>
      </c>
      <c r="H11" s="97">
        <v>15.5</v>
      </c>
      <c r="I11" s="183"/>
    </row>
    <row r="12" spans="2:9" ht="14.1" customHeight="1">
      <c r="B12" s="319" t="s">
        <v>347</v>
      </c>
      <c r="C12" s="325" t="s">
        <v>368</v>
      </c>
      <c r="D12" s="568">
        <v>1076</v>
      </c>
      <c r="E12" s="325" t="s">
        <v>395</v>
      </c>
      <c r="F12" s="97">
        <v>23.5</v>
      </c>
      <c r="G12" s="97">
        <v>65</v>
      </c>
      <c r="H12" s="97">
        <v>15.5</v>
      </c>
      <c r="I12" s="183"/>
    </row>
    <row r="13" spans="2:9" ht="14.1" customHeight="1">
      <c r="B13" s="319" t="s">
        <v>181</v>
      </c>
      <c r="C13" s="325" t="s">
        <v>369</v>
      </c>
      <c r="D13" s="568">
        <v>3180</v>
      </c>
      <c r="E13" s="325" t="s">
        <v>391</v>
      </c>
      <c r="F13" s="97">
        <v>23.5</v>
      </c>
      <c r="G13" s="97">
        <v>70</v>
      </c>
      <c r="H13" s="97">
        <v>-17</v>
      </c>
      <c r="I13" s="183"/>
    </row>
    <row r="14" spans="2:9" ht="14.1" customHeight="1">
      <c r="B14" s="319" t="s">
        <v>507</v>
      </c>
      <c r="C14" s="325" t="s">
        <v>370</v>
      </c>
      <c r="D14" s="568">
        <v>1732</v>
      </c>
      <c r="E14" s="325" t="s">
        <v>396</v>
      </c>
      <c r="F14" s="97">
        <v>23.5</v>
      </c>
      <c r="G14" s="97">
        <v>76</v>
      </c>
      <c r="H14" s="97">
        <v>15</v>
      </c>
      <c r="I14" s="183"/>
    </row>
    <row r="15" spans="2:9" ht="14.1" customHeight="1">
      <c r="B15" s="319" t="s">
        <v>348</v>
      </c>
      <c r="C15" s="325" t="s">
        <v>371</v>
      </c>
      <c r="D15" s="568">
        <v>7405</v>
      </c>
      <c r="E15" s="325" t="s">
        <v>397</v>
      </c>
      <c r="F15" s="97">
        <v>23.5</v>
      </c>
      <c r="G15" s="97">
        <v>143</v>
      </c>
      <c r="H15" s="97">
        <v>-12</v>
      </c>
      <c r="I15" s="183"/>
    </row>
    <row r="16" spans="2:9" ht="14.1" customHeight="1">
      <c r="B16" s="321" t="s">
        <v>349</v>
      </c>
      <c r="C16" s="324" t="s">
        <v>372</v>
      </c>
      <c r="D16" s="567">
        <v>3773</v>
      </c>
      <c r="E16" s="324" t="s">
        <v>398</v>
      </c>
      <c r="F16" s="97">
        <v>23.5</v>
      </c>
      <c r="G16" s="98">
        <v>161</v>
      </c>
      <c r="H16" s="98">
        <v>-12</v>
      </c>
      <c r="I16" s="183"/>
    </row>
    <row r="17" spans="2:9" ht="14.1" customHeight="1">
      <c r="B17" s="318" t="s">
        <v>18</v>
      </c>
      <c r="C17" s="323"/>
      <c r="D17" s="569"/>
      <c r="E17" s="323"/>
      <c r="F17" s="182"/>
      <c r="G17" s="182"/>
      <c r="H17" s="182"/>
      <c r="I17" s="183"/>
    </row>
    <row r="18" spans="2:9" ht="14.1" customHeight="1">
      <c r="B18" s="319" t="s">
        <v>350</v>
      </c>
      <c r="C18" s="325" t="s">
        <v>373</v>
      </c>
      <c r="D18" s="568">
        <v>7264</v>
      </c>
      <c r="E18" s="325" t="s">
        <v>399</v>
      </c>
      <c r="F18" s="97">
        <v>33</v>
      </c>
      <c r="G18" s="97">
        <v>4</v>
      </c>
      <c r="H18" s="97">
        <v>0</v>
      </c>
      <c r="I18" s="183"/>
    </row>
    <row r="19" spans="2:9" ht="14.1" customHeight="1">
      <c r="B19" s="319" t="s">
        <v>351</v>
      </c>
      <c r="C19" s="325" t="s">
        <v>165</v>
      </c>
      <c r="D19" s="568">
        <v>2524</v>
      </c>
      <c r="E19" s="325" t="s">
        <v>400</v>
      </c>
      <c r="F19" s="97">
        <v>33</v>
      </c>
      <c r="G19" s="97">
        <v>19</v>
      </c>
      <c r="H19" s="97">
        <v>10</v>
      </c>
      <c r="I19" s="183"/>
    </row>
    <row r="20" spans="2:9" ht="14.1" customHeight="1">
      <c r="B20" s="319" t="s">
        <v>352</v>
      </c>
      <c r="C20" s="325" t="s">
        <v>374</v>
      </c>
      <c r="D20" s="568">
        <v>1777</v>
      </c>
      <c r="E20" s="325" t="s">
        <v>401</v>
      </c>
      <c r="F20" s="97">
        <v>33</v>
      </c>
      <c r="G20" s="97">
        <v>32</v>
      </c>
      <c r="H20" s="97">
        <v>-16</v>
      </c>
      <c r="I20" s="183"/>
    </row>
    <row r="21" spans="2:9" ht="14.1" customHeight="1">
      <c r="B21" s="319" t="s">
        <v>375</v>
      </c>
      <c r="C21" s="325" t="s">
        <v>376</v>
      </c>
      <c r="D21" s="568">
        <v>5580</v>
      </c>
      <c r="E21" s="325" t="s">
        <v>401</v>
      </c>
      <c r="F21" s="97">
        <v>33</v>
      </c>
      <c r="G21" s="97">
        <v>33</v>
      </c>
      <c r="H21" s="97">
        <v>12</v>
      </c>
      <c r="I21" s="183"/>
    </row>
    <row r="22" spans="2:9" ht="14.1" customHeight="1">
      <c r="B22" s="319" t="s">
        <v>353</v>
      </c>
      <c r="C22" s="325" t="s">
        <v>377</v>
      </c>
      <c r="D22" s="568">
        <v>10010</v>
      </c>
      <c r="E22" s="325" t="s">
        <v>402</v>
      </c>
      <c r="F22" s="97">
        <v>33</v>
      </c>
      <c r="G22" s="97">
        <v>65</v>
      </c>
      <c r="H22" s="97">
        <v>13</v>
      </c>
      <c r="I22" s="183"/>
    </row>
    <row r="23" spans="2:9" ht="14.1" customHeight="1">
      <c r="B23" s="319" t="s">
        <v>354</v>
      </c>
      <c r="C23" s="325" t="s">
        <v>378</v>
      </c>
      <c r="D23" s="568">
        <v>4270</v>
      </c>
      <c r="E23" s="325" t="s">
        <v>403</v>
      </c>
      <c r="F23" s="97">
        <v>33</v>
      </c>
      <c r="G23" s="97">
        <v>63</v>
      </c>
      <c r="H23" s="97">
        <v>-16.5</v>
      </c>
      <c r="I23" s="183"/>
    </row>
    <row r="24" spans="2:9" ht="14.1" customHeight="1">
      <c r="B24" s="319" t="s">
        <v>355</v>
      </c>
      <c r="C24" s="325" t="s">
        <v>164</v>
      </c>
      <c r="D24" s="568">
        <v>1880</v>
      </c>
      <c r="E24" s="325" t="s">
        <v>404</v>
      </c>
      <c r="F24" s="97">
        <v>33</v>
      </c>
      <c r="G24" s="97">
        <v>82</v>
      </c>
      <c r="H24" s="97">
        <v>-16.5</v>
      </c>
      <c r="I24" s="183"/>
    </row>
    <row r="25" spans="2:9" ht="14.1" customHeight="1">
      <c r="B25" s="319" t="s">
        <v>356</v>
      </c>
      <c r="C25" s="325" t="s">
        <v>379</v>
      </c>
      <c r="D25" s="568">
        <v>5460</v>
      </c>
      <c r="E25" s="325" t="s">
        <v>405</v>
      </c>
      <c r="F25" s="97">
        <v>33</v>
      </c>
      <c r="G25" s="97">
        <v>100</v>
      </c>
      <c r="H25" s="97">
        <v>13.5</v>
      </c>
      <c r="I25" s="183"/>
    </row>
    <row r="26" spans="2:9" ht="14.1" customHeight="1">
      <c r="B26" s="319" t="s">
        <v>357</v>
      </c>
      <c r="C26" s="325" t="s">
        <v>380</v>
      </c>
      <c r="D26" s="568">
        <v>759</v>
      </c>
      <c r="E26" s="325" t="s">
        <v>406</v>
      </c>
      <c r="F26" s="97">
        <v>33</v>
      </c>
      <c r="G26" s="97">
        <v>91</v>
      </c>
      <c r="H26" s="97">
        <v>-18.2</v>
      </c>
      <c r="I26" s="183"/>
    </row>
    <row r="27" spans="2:9" ht="14.1" customHeight="1">
      <c r="B27" s="319" t="s">
        <v>505</v>
      </c>
      <c r="C27" s="325" t="s">
        <v>381</v>
      </c>
      <c r="D27" s="568">
        <v>761</v>
      </c>
      <c r="E27" s="325" t="s">
        <v>407</v>
      </c>
      <c r="F27" s="97">
        <v>33</v>
      </c>
      <c r="G27" s="97">
        <v>99</v>
      </c>
      <c r="H27" s="97">
        <v>-18.2</v>
      </c>
      <c r="I27" s="183"/>
    </row>
    <row r="28" spans="2:9" ht="14.1" customHeight="1">
      <c r="B28" s="319" t="s">
        <v>358</v>
      </c>
      <c r="C28" s="325" t="s">
        <v>382</v>
      </c>
      <c r="D28" s="568">
        <v>12541</v>
      </c>
      <c r="E28" s="325" t="s">
        <v>408</v>
      </c>
      <c r="F28" s="97">
        <v>33</v>
      </c>
      <c r="G28" s="97">
        <v>126</v>
      </c>
      <c r="H28" s="97">
        <v>11.5</v>
      </c>
      <c r="I28" s="183"/>
    </row>
    <row r="29" spans="2:9" ht="14.1" customHeight="1">
      <c r="B29" s="319" t="s">
        <v>383</v>
      </c>
      <c r="C29" s="325" t="s">
        <v>384</v>
      </c>
      <c r="D29" s="568">
        <v>160</v>
      </c>
      <c r="E29" s="325" t="s">
        <v>409</v>
      </c>
      <c r="F29" s="97">
        <v>33</v>
      </c>
      <c r="G29" s="97">
        <v>130</v>
      </c>
      <c r="H29" s="97">
        <v>-2</v>
      </c>
      <c r="I29" s="183"/>
    </row>
    <row r="30" spans="2:9" ht="14.1" customHeight="1">
      <c r="B30" s="319" t="s">
        <v>359</v>
      </c>
      <c r="C30" s="325" t="s">
        <v>385</v>
      </c>
      <c r="D30" s="568">
        <v>1560</v>
      </c>
      <c r="E30" s="325" t="s">
        <v>410</v>
      </c>
      <c r="F30" s="97">
        <v>33</v>
      </c>
      <c r="G30" s="97">
        <v>157</v>
      </c>
      <c r="H30" s="97">
        <v>-17</v>
      </c>
      <c r="I30" s="183"/>
    </row>
    <row r="31" spans="2:9" ht="14.1" customHeight="1">
      <c r="B31" s="319" t="s">
        <v>360</v>
      </c>
      <c r="C31" s="325" t="s">
        <v>386</v>
      </c>
      <c r="D31" s="568">
        <v>1120</v>
      </c>
      <c r="E31" s="325" t="s">
        <v>411</v>
      </c>
      <c r="F31" s="97">
        <v>33</v>
      </c>
      <c r="G31" s="97">
        <v>168</v>
      </c>
      <c r="H31" s="97">
        <v>-17</v>
      </c>
      <c r="I31" s="322"/>
    </row>
    <row r="32" spans="2:9" ht="14.1" customHeight="1">
      <c r="B32" s="318" t="s">
        <v>155</v>
      </c>
      <c r="C32" s="323"/>
      <c r="D32" s="569"/>
      <c r="E32" s="323"/>
      <c r="F32" s="182"/>
      <c r="G32" s="182"/>
      <c r="H32" s="182"/>
      <c r="I32" s="322"/>
    </row>
    <row r="33" spans="2:9" ht="14.1" customHeight="1">
      <c r="B33" s="321" t="s">
        <v>156</v>
      </c>
      <c r="C33" s="324" t="s">
        <v>388</v>
      </c>
      <c r="D33" s="567">
        <v>582</v>
      </c>
      <c r="E33" s="324" t="s">
        <v>412</v>
      </c>
      <c r="F33" s="98">
        <v>42.5</v>
      </c>
      <c r="G33" s="98">
        <v>120</v>
      </c>
      <c r="H33" s="98">
        <v>-2</v>
      </c>
      <c r="I33" s="322"/>
    </row>
    <row r="34" spans="2:9" ht="14.1" customHeight="1">
      <c r="B34" s="318" t="s">
        <v>154</v>
      </c>
      <c r="C34" s="323"/>
      <c r="D34" s="569"/>
      <c r="E34" s="323"/>
      <c r="F34" s="182"/>
      <c r="G34" s="182"/>
      <c r="H34" s="182"/>
      <c r="I34" s="183"/>
    </row>
    <row r="35" spans="2:9" ht="14.1" customHeight="1">
      <c r="B35" s="321" t="s">
        <v>361</v>
      </c>
      <c r="C35" s="324" t="s">
        <v>387</v>
      </c>
      <c r="D35" s="567">
        <v>324</v>
      </c>
      <c r="E35" s="324" t="s">
        <v>413</v>
      </c>
      <c r="F35" s="98">
        <v>51.5</v>
      </c>
      <c r="G35" s="98">
        <v>125</v>
      </c>
      <c r="H35" s="98">
        <v>7</v>
      </c>
      <c r="I35" s="183"/>
    </row>
    <row r="36" spans="2:9" ht="14.1" customHeight="1">
      <c r="B36" s="320" t="s">
        <v>362</v>
      </c>
      <c r="C36" s="325"/>
      <c r="D36" s="568"/>
      <c r="E36" s="325"/>
      <c r="F36" s="97"/>
      <c r="G36" s="97"/>
      <c r="H36" s="97"/>
      <c r="I36" s="183"/>
    </row>
    <row r="37" spans="2:9" ht="14.1" customHeight="1">
      <c r="B37" s="319" t="s">
        <v>363</v>
      </c>
      <c r="C37" s="325" t="s">
        <v>389</v>
      </c>
      <c r="D37" s="568">
        <v>1386</v>
      </c>
      <c r="E37" s="325" t="s">
        <v>414</v>
      </c>
      <c r="F37" s="97">
        <v>60.5</v>
      </c>
      <c r="G37" s="97">
        <v>76</v>
      </c>
      <c r="H37" s="97">
        <v>-8</v>
      </c>
      <c r="I37" s="183"/>
    </row>
    <row r="38" spans="2:9" ht="14.1" customHeight="1">
      <c r="B38" s="321" t="s">
        <v>182</v>
      </c>
      <c r="C38" s="324" t="s">
        <v>390</v>
      </c>
      <c r="D38" s="567">
        <v>862</v>
      </c>
      <c r="E38" s="324" t="s">
        <v>415</v>
      </c>
      <c r="F38" s="98">
        <v>60.5</v>
      </c>
      <c r="G38" s="98">
        <v>94</v>
      </c>
      <c r="H38" s="98">
        <v>-8</v>
      </c>
      <c r="I38" s="183"/>
    </row>
  </sheetData>
  <pageMargins left="0.75" right="0.75" top="1" bottom="1" header="0.5" footer="0.5"/>
  <pageSetup orientation="portrait" r:id="rId1"/>
  <headerFooter alignWithMargins="0"/>
  <ignoredErrors>
    <ignoredError sqref="C5:C3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1:W60"/>
  <sheetViews>
    <sheetView zoomScale="85" zoomScaleNormal="85" workbookViewId="0">
      <selection activeCell="K49" sqref="K49"/>
    </sheetView>
  </sheetViews>
  <sheetFormatPr defaultRowHeight="12.75"/>
  <cols>
    <col min="1" max="1" width="4.6640625" style="29" customWidth="1"/>
    <col min="2" max="2" width="37.5" style="29" customWidth="1"/>
    <col min="3" max="3" width="14.33203125" style="159" bestFit="1" customWidth="1"/>
    <col min="4" max="8" width="13.33203125" style="29" customWidth="1"/>
    <col min="9" max="10" width="9.33203125" style="29"/>
    <col min="11" max="11" width="12.83203125" style="29" customWidth="1"/>
    <col min="12" max="16384" width="9.33203125" style="29"/>
  </cols>
  <sheetData>
    <row r="1" spans="2:23">
      <c r="C1" s="172"/>
    </row>
    <row r="2" spans="2:23" ht="15.95" customHeight="1">
      <c r="B2" s="48"/>
      <c r="C2" s="178"/>
      <c r="D2" s="636" t="s">
        <v>27</v>
      </c>
      <c r="E2" s="636"/>
      <c r="F2" s="636" t="s">
        <v>25</v>
      </c>
      <c r="G2" s="636"/>
      <c r="H2" s="636"/>
    </row>
    <row r="3" spans="2:23" ht="15.95" customHeight="1">
      <c r="B3" s="179" t="s">
        <v>14</v>
      </c>
      <c r="C3" s="53" t="s">
        <v>14</v>
      </c>
      <c r="D3" s="49" t="s">
        <v>41</v>
      </c>
      <c r="E3" s="49" t="s">
        <v>16</v>
      </c>
      <c r="F3" s="286">
        <v>3600</v>
      </c>
      <c r="G3" s="286">
        <v>3900</v>
      </c>
      <c r="H3" s="286">
        <v>4200</v>
      </c>
    </row>
    <row r="4" spans="2:23" ht="15.95" customHeight="1">
      <c r="B4" s="51"/>
      <c r="C4" s="53" t="s">
        <v>178</v>
      </c>
      <c r="D4" s="49" t="s">
        <v>195</v>
      </c>
      <c r="E4" s="49" t="s">
        <v>322</v>
      </c>
      <c r="F4" s="285">
        <v>20</v>
      </c>
      <c r="G4" s="285">
        <v>20.5</v>
      </c>
      <c r="H4" s="285">
        <v>21</v>
      </c>
      <c r="U4" s="271"/>
      <c r="V4" s="272"/>
      <c r="W4" s="272"/>
    </row>
    <row r="5" spans="2:23" ht="15.95" customHeight="1">
      <c r="B5" s="278"/>
      <c r="C5" s="55"/>
      <c r="D5" s="50"/>
      <c r="E5" s="50"/>
      <c r="F5" s="637" t="s">
        <v>323</v>
      </c>
      <c r="G5" s="637"/>
      <c r="H5" s="637"/>
      <c r="K5" s="44" t="s">
        <v>180</v>
      </c>
      <c r="U5" s="271"/>
      <c r="V5" s="272"/>
      <c r="W5" s="272"/>
    </row>
    <row r="6" spans="2:23" ht="15.95" customHeight="1">
      <c r="B6" s="280" t="s">
        <v>47</v>
      </c>
      <c r="C6" s="165"/>
      <c r="D6" s="165"/>
      <c r="E6" s="165"/>
      <c r="F6" s="165"/>
      <c r="G6" s="165"/>
      <c r="H6" s="165"/>
      <c r="U6" s="273"/>
      <c r="V6" s="272"/>
      <c r="W6" s="272"/>
    </row>
    <row r="7" spans="2:23" ht="15.95" customHeight="1">
      <c r="B7" s="279" t="s">
        <v>264</v>
      </c>
      <c r="C7" s="146" t="s">
        <v>199</v>
      </c>
      <c r="D7" s="577">
        <f>L7</f>
        <v>49.091999999999999</v>
      </c>
      <c r="E7" s="572">
        <f t="shared" ref="E7:H19" si="0">M7</f>
        <v>9.7070000000000007</v>
      </c>
      <c r="F7" s="572">
        <f t="shared" si="0"/>
        <v>0.19</v>
      </c>
      <c r="G7" s="572">
        <f t="shared" si="0"/>
        <v>0.19500000000000001</v>
      </c>
      <c r="H7" s="572">
        <f t="shared" si="0"/>
        <v>0.16900000000000001</v>
      </c>
      <c r="K7" t="s">
        <v>282</v>
      </c>
      <c r="L7">
        <v>49.091999999999999</v>
      </c>
      <c r="M7">
        <v>9.7070000000000007</v>
      </c>
      <c r="N7">
        <v>0.19</v>
      </c>
      <c r="O7">
        <v>0.19500000000000001</v>
      </c>
      <c r="P7">
        <v>0.16900000000000001</v>
      </c>
      <c r="U7" s="274"/>
      <c r="V7" s="272"/>
      <c r="W7" s="272"/>
    </row>
    <row r="8" spans="2:23" ht="15.95" customHeight="1">
      <c r="B8" s="279" t="s">
        <v>264</v>
      </c>
      <c r="C8" s="146" t="s">
        <v>200</v>
      </c>
      <c r="D8" s="577">
        <f t="shared" ref="D8:D19" si="1">L8</f>
        <v>49.091999999999999</v>
      </c>
      <c r="E8" s="572">
        <f t="shared" si="0"/>
        <v>9.7070000000000007</v>
      </c>
      <c r="F8" s="572">
        <f t="shared" si="0"/>
        <v>0.19</v>
      </c>
      <c r="G8" s="572">
        <f t="shared" si="0"/>
        <v>0.19500000000000001</v>
      </c>
      <c r="H8" s="572">
        <f t="shared" si="0"/>
        <v>0.16900000000000001</v>
      </c>
      <c r="K8" t="s">
        <v>283</v>
      </c>
      <c r="L8">
        <v>49.091999999999999</v>
      </c>
      <c r="M8">
        <v>9.7070000000000007</v>
      </c>
      <c r="N8">
        <v>0.19</v>
      </c>
      <c r="O8">
        <v>0.19500000000000001</v>
      </c>
      <c r="P8">
        <v>0.16900000000000001</v>
      </c>
      <c r="U8" s="275"/>
      <c r="V8" s="272"/>
      <c r="W8" s="272"/>
    </row>
    <row r="9" spans="2:23" ht="15.95" customHeight="1">
      <c r="B9" s="279" t="s">
        <v>264</v>
      </c>
      <c r="C9" s="146" t="s">
        <v>201</v>
      </c>
      <c r="D9" s="577">
        <f t="shared" si="1"/>
        <v>28.968</v>
      </c>
      <c r="E9" s="572">
        <f t="shared" si="0"/>
        <v>2.0059999999999998</v>
      </c>
      <c r="F9" s="572">
        <f t="shared" si="0"/>
        <v>0.13</v>
      </c>
      <c r="G9" s="572">
        <f t="shared" si="0"/>
        <v>0.14899999999999999</v>
      </c>
      <c r="H9" s="572">
        <f t="shared" si="0"/>
        <v>0.13</v>
      </c>
      <c r="K9" t="s">
        <v>284</v>
      </c>
      <c r="L9">
        <v>28.968</v>
      </c>
      <c r="M9">
        <v>2.0059999999999998</v>
      </c>
      <c r="N9">
        <v>0.13</v>
      </c>
      <c r="O9">
        <v>0.14899999999999999</v>
      </c>
      <c r="P9">
        <v>0.13</v>
      </c>
      <c r="U9" s="275"/>
      <c r="V9" s="272"/>
      <c r="W9" s="272"/>
    </row>
    <row r="10" spans="2:23" ht="15.95" customHeight="1">
      <c r="B10" s="279" t="s">
        <v>264</v>
      </c>
      <c r="C10" s="146" t="s">
        <v>202</v>
      </c>
      <c r="D10" s="577">
        <f t="shared" si="1"/>
        <v>44.223999999999997</v>
      </c>
      <c r="E10" s="572">
        <f t="shared" si="0"/>
        <v>7.3710000000000004</v>
      </c>
      <c r="F10" s="572">
        <f t="shared" si="0"/>
        <v>0.17499999999999999</v>
      </c>
      <c r="G10" s="572">
        <f t="shared" si="0"/>
        <v>0.184</v>
      </c>
      <c r="H10" s="572">
        <f t="shared" si="0"/>
        <v>0.16400000000000001</v>
      </c>
      <c r="K10" t="s">
        <v>285</v>
      </c>
      <c r="L10">
        <v>44.223999999999997</v>
      </c>
      <c r="M10">
        <v>7.3710000000000004</v>
      </c>
      <c r="N10">
        <v>0.17499999999999999</v>
      </c>
      <c r="O10">
        <v>0.184</v>
      </c>
      <c r="P10">
        <v>0.16400000000000001</v>
      </c>
      <c r="U10" s="275"/>
      <c r="V10" s="272"/>
      <c r="W10" s="272"/>
    </row>
    <row r="11" spans="2:23" ht="15.95" customHeight="1">
      <c r="B11" s="279" t="s">
        <v>264</v>
      </c>
      <c r="C11" s="146" t="s">
        <v>203</v>
      </c>
      <c r="D11" s="577">
        <f t="shared" si="1"/>
        <v>44.223999999999997</v>
      </c>
      <c r="E11" s="572">
        <f t="shared" si="0"/>
        <v>7.3710000000000004</v>
      </c>
      <c r="F11" s="572">
        <f t="shared" si="0"/>
        <v>0.17499999999999999</v>
      </c>
      <c r="G11" s="572">
        <f t="shared" si="0"/>
        <v>0.184</v>
      </c>
      <c r="H11" s="572">
        <f t="shared" si="0"/>
        <v>0.16400000000000001</v>
      </c>
      <c r="K11" t="s">
        <v>286</v>
      </c>
      <c r="L11">
        <v>44.223999999999997</v>
      </c>
      <c r="M11">
        <v>7.3710000000000004</v>
      </c>
      <c r="N11">
        <v>0.17499999999999999</v>
      </c>
      <c r="O11">
        <v>0.184</v>
      </c>
      <c r="P11">
        <v>0.16400000000000001</v>
      </c>
      <c r="U11" s="275"/>
      <c r="V11" s="272"/>
      <c r="W11" s="272"/>
    </row>
    <row r="12" spans="2:23" ht="15.95" customHeight="1">
      <c r="B12" s="279" t="s">
        <v>264</v>
      </c>
      <c r="C12" s="146" t="s">
        <v>204</v>
      </c>
      <c r="D12" s="577">
        <f t="shared" si="1"/>
        <v>39.981000000000002</v>
      </c>
      <c r="E12" s="572">
        <f t="shared" si="0"/>
        <v>2.7120000000000002</v>
      </c>
      <c r="F12" s="572">
        <f t="shared" si="0"/>
        <v>0.17299999999999999</v>
      </c>
      <c r="G12" s="572">
        <f t="shared" si="0"/>
        <v>0.185</v>
      </c>
      <c r="H12" s="572">
        <f t="shared" si="0"/>
        <v>0.16800000000000001</v>
      </c>
      <c r="K12" t="s">
        <v>287</v>
      </c>
      <c r="L12">
        <v>39.981000000000002</v>
      </c>
      <c r="M12">
        <v>2.7120000000000002</v>
      </c>
      <c r="N12">
        <v>0.17299999999999999</v>
      </c>
      <c r="O12">
        <v>0.185</v>
      </c>
      <c r="P12">
        <v>0.16800000000000001</v>
      </c>
      <c r="U12" s="275"/>
      <c r="V12" s="272"/>
      <c r="W12" s="272"/>
    </row>
    <row r="13" spans="2:23" ht="15.95" customHeight="1">
      <c r="B13" s="279" t="s">
        <v>264</v>
      </c>
      <c r="C13" s="146" t="s">
        <v>205</v>
      </c>
      <c r="D13" s="577">
        <f t="shared" si="1"/>
        <v>39.981000000000002</v>
      </c>
      <c r="E13" s="572">
        <f t="shared" si="0"/>
        <v>2.7120000000000002</v>
      </c>
      <c r="F13" s="572">
        <f t="shared" si="0"/>
        <v>0.17299999999999999</v>
      </c>
      <c r="G13" s="572">
        <f t="shared" si="0"/>
        <v>0.185</v>
      </c>
      <c r="H13" s="572">
        <f t="shared" si="0"/>
        <v>0.16800000000000001</v>
      </c>
      <c r="K13" t="s">
        <v>288</v>
      </c>
      <c r="L13">
        <v>39.981000000000002</v>
      </c>
      <c r="M13">
        <v>2.7120000000000002</v>
      </c>
      <c r="N13">
        <v>0.17299999999999999</v>
      </c>
      <c r="O13">
        <v>0.185</v>
      </c>
      <c r="P13">
        <v>0.16800000000000001</v>
      </c>
      <c r="U13" s="275"/>
      <c r="V13" s="272"/>
      <c r="W13" s="272"/>
    </row>
    <row r="14" spans="2:23" ht="15.95" customHeight="1">
      <c r="B14" s="279" t="s">
        <v>264</v>
      </c>
      <c r="C14" s="146" t="s">
        <v>206</v>
      </c>
      <c r="D14" s="577">
        <f t="shared" si="1"/>
        <v>63.356000000000002</v>
      </c>
      <c r="E14" s="572">
        <f t="shared" si="0"/>
        <v>6.4119999999999999</v>
      </c>
      <c r="F14" s="572">
        <f t="shared" si="0"/>
        <v>0.245</v>
      </c>
      <c r="G14" s="572">
        <f t="shared" si="0"/>
        <v>0.246</v>
      </c>
      <c r="H14" s="572">
        <f t="shared" si="0"/>
        <v>0.224</v>
      </c>
      <c r="K14" t="s">
        <v>289</v>
      </c>
      <c r="L14">
        <v>63.356000000000002</v>
      </c>
      <c r="M14">
        <v>6.4119999999999999</v>
      </c>
      <c r="N14">
        <v>0.245</v>
      </c>
      <c r="O14">
        <v>0.246</v>
      </c>
      <c r="P14">
        <v>0.224</v>
      </c>
      <c r="U14" s="275"/>
      <c r="V14" s="272"/>
      <c r="W14" s="272"/>
    </row>
    <row r="15" spans="2:23" ht="15.95" customHeight="1">
      <c r="B15" s="279" t="s">
        <v>264</v>
      </c>
      <c r="C15" s="146" t="s">
        <v>207</v>
      </c>
      <c r="D15" s="577">
        <f t="shared" si="1"/>
        <v>63.356000000000002</v>
      </c>
      <c r="E15" s="572">
        <f t="shared" si="0"/>
        <v>6.4119999999999999</v>
      </c>
      <c r="F15" s="572">
        <f t="shared" si="0"/>
        <v>0.245</v>
      </c>
      <c r="G15" s="572">
        <f t="shared" si="0"/>
        <v>0.246</v>
      </c>
      <c r="H15" s="572">
        <f t="shared" si="0"/>
        <v>0.224</v>
      </c>
      <c r="K15" t="s">
        <v>290</v>
      </c>
      <c r="L15">
        <v>63.356000000000002</v>
      </c>
      <c r="M15">
        <v>6.4119999999999999</v>
      </c>
      <c r="N15">
        <v>0.245</v>
      </c>
      <c r="O15">
        <v>0.246</v>
      </c>
      <c r="P15">
        <v>0.224</v>
      </c>
      <c r="U15" s="275"/>
      <c r="V15" s="272"/>
      <c r="W15" s="272"/>
    </row>
    <row r="16" spans="2:23" ht="15.95" customHeight="1">
      <c r="B16" s="279" t="s">
        <v>264</v>
      </c>
      <c r="C16" s="146" t="s">
        <v>208</v>
      </c>
      <c r="D16" s="577">
        <f t="shared" si="1"/>
        <v>58.945999999999998</v>
      </c>
      <c r="E16" s="572">
        <f t="shared" si="0"/>
        <v>8.3940000000000001</v>
      </c>
      <c r="F16" s="572">
        <f t="shared" si="0"/>
        <v>0.17499999999999999</v>
      </c>
      <c r="G16" s="572">
        <f t="shared" si="0"/>
        <v>0.19</v>
      </c>
      <c r="H16" s="572">
        <f t="shared" si="0"/>
        <v>0.17399999999999999</v>
      </c>
      <c r="K16" t="s">
        <v>291</v>
      </c>
      <c r="L16">
        <v>58.945999999999998</v>
      </c>
      <c r="M16">
        <v>8.3940000000000001</v>
      </c>
      <c r="N16">
        <v>0.17499999999999999</v>
      </c>
      <c r="O16">
        <v>0.19</v>
      </c>
      <c r="P16">
        <v>0.17399999999999999</v>
      </c>
      <c r="U16" s="275"/>
      <c r="V16" s="272"/>
      <c r="W16" s="272"/>
    </row>
    <row r="17" spans="2:23" ht="15.95" customHeight="1">
      <c r="B17" s="279" t="s">
        <v>264</v>
      </c>
      <c r="C17" s="146" t="s">
        <v>209</v>
      </c>
      <c r="D17" s="577">
        <f t="shared" si="1"/>
        <v>58.945999999999998</v>
      </c>
      <c r="E17" s="572">
        <f t="shared" si="0"/>
        <v>8.3949999999999996</v>
      </c>
      <c r="F17" s="572">
        <f t="shared" si="0"/>
        <v>0.17499999999999999</v>
      </c>
      <c r="G17" s="572">
        <f t="shared" si="0"/>
        <v>0.19</v>
      </c>
      <c r="H17" s="572">
        <f t="shared" si="0"/>
        <v>0.17399999999999999</v>
      </c>
      <c r="K17" t="s">
        <v>292</v>
      </c>
      <c r="L17">
        <v>58.945999999999998</v>
      </c>
      <c r="M17">
        <v>8.3949999999999996</v>
      </c>
      <c r="N17">
        <v>0.17499999999999999</v>
      </c>
      <c r="O17">
        <v>0.19</v>
      </c>
      <c r="P17">
        <v>0.17399999999999999</v>
      </c>
      <c r="U17" s="275"/>
      <c r="V17" s="272"/>
      <c r="W17" s="272"/>
    </row>
    <row r="18" spans="2:23" ht="15.95" customHeight="1">
      <c r="B18" s="279" t="s">
        <v>264</v>
      </c>
      <c r="C18" s="146" t="s">
        <v>211</v>
      </c>
      <c r="D18" s="577">
        <f t="shared" si="1"/>
        <v>49.430999999999997</v>
      </c>
      <c r="E18" s="572">
        <f t="shared" si="0"/>
        <v>11.968</v>
      </c>
      <c r="F18" s="572">
        <f t="shared" si="0"/>
        <v>8.5000000000000006E-2</v>
      </c>
      <c r="G18" s="572">
        <f t="shared" si="0"/>
        <v>0.104</v>
      </c>
      <c r="H18" s="572">
        <f t="shared" si="0"/>
        <v>9.4E-2</v>
      </c>
      <c r="K18" t="s">
        <v>293</v>
      </c>
      <c r="L18">
        <v>49.430999999999997</v>
      </c>
      <c r="M18">
        <v>11.968</v>
      </c>
      <c r="N18">
        <v>8.5000000000000006E-2</v>
      </c>
      <c r="O18">
        <v>0.104</v>
      </c>
      <c r="P18">
        <v>9.4E-2</v>
      </c>
      <c r="U18" s="275"/>
      <c r="V18" s="272"/>
      <c r="W18" s="272"/>
    </row>
    <row r="19" spans="2:23" ht="15.95" customHeight="1">
      <c r="B19" s="279" t="s">
        <v>264</v>
      </c>
      <c r="C19" s="146" t="s">
        <v>210</v>
      </c>
      <c r="D19" s="577">
        <f t="shared" si="1"/>
        <v>49.430999999999997</v>
      </c>
      <c r="E19" s="572">
        <f t="shared" si="0"/>
        <v>11.968</v>
      </c>
      <c r="F19" s="572">
        <f t="shared" si="0"/>
        <v>8.5000000000000006E-2</v>
      </c>
      <c r="G19" s="572">
        <f t="shared" si="0"/>
        <v>0.104</v>
      </c>
      <c r="H19" s="572">
        <f t="shared" si="0"/>
        <v>9.4E-2</v>
      </c>
      <c r="K19" t="s">
        <v>294</v>
      </c>
      <c r="L19">
        <v>49.430999999999997</v>
      </c>
      <c r="M19">
        <v>11.968</v>
      </c>
      <c r="N19">
        <v>8.5000000000000006E-2</v>
      </c>
      <c r="O19">
        <v>0.104</v>
      </c>
      <c r="P19">
        <v>9.4E-2</v>
      </c>
      <c r="U19" s="275"/>
      <c r="V19" s="272"/>
      <c r="W19" s="272"/>
    </row>
    <row r="20" spans="2:23" ht="15.95" customHeight="1">
      <c r="B20" s="571" t="s">
        <v>21</v>
      </c>
      <c r="C20" s="165"/>
      <c r="D20" s="578"/>
      <c r="E20" s="573"/>
      <c r="F20" s="573"/>
      <c r="G20" s="573"/>
      <c r="H20" s="573"/>
      <c r="K20"/>
      <c r="L20"/>
      <c r="M20"/>
      <c r="N20"/>
      <c r="O20"/>
      <c r="P20"/>
      <c r="U20" s="275"/>
      <c r="V20" s="272"/>
      <c r="W20" s="272"/>
    </row>
    <row r="21" spans="2:23" ht="15.95" customHeight="1">
      <c r="B21" s="279" t="s">
        <v>45</v>
      </c>
      <c r="C21" s="146" t="s">
        <v>229</v>
      </c>
      <c r="D21" s="577">
        <f>L22</f>
        <v>34.953000000000003</v>
      </c>
      <c r="E21" s="572">
        <f t="shared" ref="E21" si="2">M22</f>
        <v>13.448</v>
      </c>
      <c r="F21" s="572">
        <f t="shared" ref="F21" si="3">N22</f>
        <v>7.1999999999999995E-2</v>
      </c>
      <c r="G21" s="572">
        <f t="shared" ref="G21" si="4">O22</f>
        <v>8.8999999999999996E-2</v>
      </c>
      <c r="H21" s="572">
        <f t="shared" ref="H21" si="5">P22</f>
        <v>7.8E-2</v>
      </c>
      <c r="K21"/>
      <c r="L21"/>
      <c r="M21"/>
      <c r="N21"/>
      <c r="O21"/>
      <c r="P21"/>
      <c r="U21" s="276"/>
      <c r="V21" s="272"/>
      <c r="W21" s="272"/>
    </row>
    <row r="22" spans="2:23" ht="15.95" customHeight="1">
      <c r="B22" s="279" t="s">
        <v>45</v>
      </c>
      <c r="C22" s="146" t="s">
        <v>230</v>
      </c>
      <c r="D22" s="577">
        <f t="shared" ref="D22:D36" si="6">L23</f>
        <v>33.840000000000003</v>
      </c>
      <c r="E22" s="572">
        <f t="shared" ref="E22:E36" si="7">M23</f>
        <v>13.37</v>
      </c>
      <c r="F22" s="572">
        <f t="shared" ref="F22:F36" si="8">N23</f>
        <v>6.9000000000000006E-2</v>
      </c>
      <c r="G22" s="572">
        <f t="shared" ref="G22:G36" si="9">O23</f>
        <v>8.5000000000000006E-2</v>
      </c>
      <c r="H22" s="572">
        <f t="shared" ref="H22:H36" si="10">P23</f>
        <v>7.5999999999999998E-2</v>
      </c>
      <c r="K22" t="s">
        <v>295</v>
      </c>
      <c r="L22">
        <v>34.953000000000003</v>
      </c>
      <c r="M22">
        <v>13.448</v>
      </c>
      <c r="N22">
        <v>7.1999999999999995E-2</v>
      </c>
      <c r="O22">
        <v>8.8999999999999996E-2</v>
      </c>
      <c r="P22">
        <v>7.8E-2</v>
      </c>
      <c r="U22" s="274"/>
      <c r="V22" s="272"/>
      <c r="W22" s="272"/>
    </row>
    <row r="23" spans="2:23" ht="15.95" customHeight="1">
      <c r="B23" s="279" t="s">
        <v>45</v>
      </c>
      <c r="C23" s="146" t="s">
        <v>232</v>
      </c>
      <c r="D23" s="577">
        <f t="shared" si="6"/>
        <v>76.537000000000006</v>
      </c>
      <c r="E23" s="572">
        <f t="shared" si="7"/>
        <v>12.444000000000001</v>
      </c>
      <c r="F23" s="572">
        <f t="shared" si="8"/>
        <v>0.121</v>
      </c>
      <c r="G23" s="572">
        <f t="shared" si="9"/>
        <v>0.14799999999999999</v>
      </c>
      <c r="H23" s="572">
        <f t="shared" si="10"/>
        <v>0.14299999999999999</v>
      </c>
      <c r="K23" t="s">
        <v>296</v>
      </c>
      <c r="L23">
        <v>33.840000000000003</v>
      </c>
      <c r="M23">
        <v>13.37</v>
      </c>
      <c r="N23">
        <v>6.9000000000000006E-2</v>
      </c>
      <c r="O23">
        <v>8.5000000000000006E-2</v>
      </c>
      <c r="P23">
        <v>7.5999999999999998E-2</v>
      </c>
      <c r="U23" s="275"/>
      <c r="V23" s="272"/>
      <c r="W23" s="272"/>
    </row>
    <row r="24" spans="2:23" ht="15.95" customHeight="1">
      <c r="B24" s="279" t="s">
        <v>45</v>
      </c>
      <c r="C24" s="146" t="s">
        <v>233</v>
      </c>
      <c r="D24" s="577">
        <f t="shared" si="6"/>
        <v>35.697000000000003</v>
      </c>
      <c r="E24" s="572">
        <f t="shared" si="7"/>
        <v>10.332000000000001</v>
      </c>
      <c r="F24" s="572">
        <f t="shared" si="8"/>
        <v>7.0999999999999994E-2</v>
      </c>
      <c r="G24" s="572">
        <f t="shared" si="9"/>
        <v>9.0999999999999998E-2</v>
      </c>
      <c r="H24" s="572">
        <f t="shared" si="10"/>
        <v>8.3000000000000004E-2</v>
      </c>
      <c r="K24" t="s">
        <v>297</v>
      </c>
      <c r="L24">
        <v>76.537000000000006</v>
      </c>
      <c r="M24">
        <v>12.444000000000001</v>
      </c>
      <c r="N24">
        <v>0.121</v>
      </c>
      <c r="O24">
        <v>0.14799999999999999</v>
      </c>
      <c r="P24">
        <v>0.14299999999999999</v>
      </c>
      <c r="U24" s="275"/>
      <c r="V24" s="272"/>
      <c r="W24" s="272"/>
    </row>
    <row r="25" spans="2:23" ht="15.95" customHeight="1">
      <c r="B25" s="279" t="s">
        <v>45</v>
      </c>
      <c r="C25" s="146" t="s">
        <v>234</v>
      </c>
      <c r="D25" s="577">
        <f t="shared" si="6"/>
        <v>114.49299999999999</v>
      </c>
      <c r="E25" s="572">
        <f t="shared" si="7"/>
        <v>12.018000000000001</v>
      </c>
      <c r="F25" s="572">
        <f t="shared" si="8"/>
        <v>0.152</v>
      </c>
      <c r="G25" s="572">
        <f t="shared" si="9"/>
        <v>0.20100000000000001</v>
      </c>
      <c r="H25" s="572">
        <f t="shared" si="10"/>
        <v>0.192</v>
      </c>
      <c r="K25" t="s">
        <v>298</v>
      </c>
      <c r="L25">
        <v>35.697000000000003</v>
      </c>
      <c r="M25">
        <v>10.332000000000001</v>
      </c>
      <c r="N25">
        <v>7.0999999999999994E-2</v>
      </c>
      <c r="O25">
        <v>9.0999999999999998E-2</v>
      </c>
      <c r="P25">
        <v>8.3000000000000004E-2</v>
      </c>
      <c r="U25" s="275"/>
      <c r="V25" s="272"/>
      <c r="W25" s="272"/>
    </row>
    <row r="26" spans="2:23" ht="15.95" customHeight="1">
      <c r="B26" s="279" t="s">
        <v>45</v>
      </c>
      <c r="C26" s="146" t="s">
        <v>254</v>
      </c>
      <c r="D26" s="577">
        <f t="shared" si="6"/>
        <v>61.118000000000002</v>
      </c>
      <c r="E26" s="572">
        <f t="shared" si="7"/>
        <v>12.513999999999999</v>
      </c>
      <c r="F26" s="572">
        <f t="shared" si="8"/>
        <v>0.14099999999999999</v>
      </c>
      <c r="G26" s="572">
        <f t="shared" si="9"/>
        <v>0.14899999999999999</v>
      </c>
      <c r="H26" s="572">
        <f t="shared" si="10"/>
        <v>0.128</v>
      </c>
      <c r="K26" t="s">
        <v>299</v>
      </c>
      <c r="L26">
        <v>114.49299999999999</v>
      </c>
      <c r="M26">
        <v>12.018000000000001</v>
      </c>
      <c r="N26">
        <v>0.152</v>
      </c>
      <c r="O26">
        <v>0.20100000000000001</v>
      </c>
      <c r="P26">
        <v>0.192</v>
      </c>
      <c r="U26" s="275"/>
      <c r="V26" s="272"/>
      <c r="W26" s="272"/>
    </row>
    <row r="27" spans="2:23" ht="15.95" customHeight="1">
      <c r="B27" s="279" t="s">
        <v>45</v>
      </c>
      <c r="C27" s="146" t="s">
        <v>235</v>
      </c>
      <c r="D27" s="577">
        <f t="shared" si="6"/>
        <v>61.118000000000002</v>
      </c>
      <c r="E27" s="572">
        <f t="shared" si="7"/>
        <v>12.513999999999999</v>
      </c>
      <c r="F27" s="572">
        <f t="shared" si="8"/>
        <v>0.14099999999999999</v>
      </c>
      <c r="G27" s="572">
        <f t="shared" si="9"/>
        <v>0.14899999999999999</v>
      </c>
      <c r="H27" s="572">
        <f t="shared" si="10"/>
        <v>0.128</v>
      </c>
      <c r="K27" t="s">
        <v>300</v>
      </c>
      <c r="L27">
        <v>61.118000000000002</v>
      </c>
      <c r="M27">
        <v>12.513999999999999</v>
      </c>
      <c r="N27">
        <v>0.14099999999999999</v>
      </c>
      <c r="O27">
        <v>0.14899999999999999</v>
      </c>
      <c r="P27">
        <v>0.128</v>
      </c>
      <c r="U27" s="275"/>
      <c r="V27" s="272"/>
      <c r="W27" s="272"/>
    </row>
    <row r="28" spans="2:23" ht="15.95" customHeight="1">
      <c r="B28" s="279" t="s">
        <v>45</v>
      </c>
      <c r="C28" s="146" t="s">
        <v>255</v>
      </c>
      <c r="D28" s="577">
        <f t="shared" si="6"/>
        <v>96.593000000000004</v>
      </c>
      <c r="E28" s="572">
        <f t="shared" si="7"/>
        <v>13.326000000000001</v>
      </c>
      <c r="F28" s="572">
        <f t="shared" si="8"/>
        <v>8.5999999999999993E-2</v>
      </c>
      <c r="G28" s="572">
        <f t="shared" si="9"/>
        <v>0.13200000000000001</v>
      </c>
      <c r="H28" s="572">
        <f t="shared" si="10"/>
        <v>0.125</v>
      </c>
      <c r="K28" t="s">
        <v>301</v>
      </c>
      <c r="L28">
        <v>61.118000000000002</v>
      </c>
      <c r="M28">
        <v>12.513999999999999</v>
      </c>
      <c r="N28">
        <v>0.14099999999999999</v>
      </c>
      <c r="O28">
        <v>0.14899999999999999</v>
      </c>
      <c r="P28">
        <v>0.128</v>
      </c>
      <c r="U28" s="275"/>
      <c r="V28" s="272"/>
      <c r="W28" s="272"/>
    </row>
    <row r="29" spans="2:23" ht="15.95" customHeight="1">
      <c r="B29" s="279" t="s">
        <v>45</v>
      </c>
      <c r="C29" s="146" t="s">
        <v>236</v>
      </c>
      <c r="D29" s="577">
        <f t="shared" si="6"/>
        <v>48.097999999999999</v>
      </c>
      <c r="E29" s="572">
        <f t="shared" si="7"/>
        <v>13.835000000000001</v>
      </c>
      <c r="F29" s="572">
        <f t="shared" si="8"/>
        <v>7.0999999999999994E-2</v>
      </c>
      <c r="G29" s="572">
        <f t="shared" si="9"/>
        <v>9.0999999999999998E-2</v>
      </c>
      <c r="H29" s="572">
        <f t="shared" si="10"/>
        <v>0.08</v>
      </c>
      <c r="K29" t="s">
        <v>302</v>
      </c>
      <c r="L29">
        <v>96.593000000000004</v>
      </c>
      <c r="M29">
        <v>13.326000000000001</v>
      </c>
      <c r="N29">
        <v>8.5999999999999993E-2</v>
      </c>
      <c r="O29">
        <v>0.13200000000000001</v>
      </c>
      <c r="P29">
        <v>0.125</v>
      </c>
      <c r="U29" s="275"/>
      <c r="V29" s="272"/>
      <c r="W29" s="272"/>
    </row>
    <row r="30" spans="2:23" ht="15.95" customHeight="1">
      <c r="B30" s="279" t="s">
        <v>45</v>
      </c>
      <c r="C30" s="146" t="s">
        <v>237</v>
      </c>
      <c r="D30" s="577">
        <f t="shared" si="6"/>
        <v>48.097999999999999</v>
      </c>
      <c r="E30" s="572">
        <f t="shared" si="7"/>
        <v>13.835000000000001</v>
      </c>
      <c r="F30" s="572">
        <f t="shared" si="8"/>
        <v>7.0999999999999994E-2</v>
      </c>
      <c r="G30" s="572">
        <f t="shared" si="9"/>
        <v>9.0999999999999998E-2</v>
      </c>
      <c r="H30" s="572">
        <f t="shared" si="10"/>
        <v>0.08</v>
      </c>
      <c r="K30" t="s">
        <v>303</v>
      </c>
      <c r="L30">
        <v>48.097999999999999</v>
      </c>
      <c r="M30">
        <v>13.835000000000001</v>
      </c>
      <c r="N30">
        <v>7.0999999999999994E-2</v>
      </c>
      <c r="O30">
        <v>9.0999999999999998E-2</v>
      </c>
      <c r="P30">
        <v>0.08</v>
      </c>
      <c r="U30" s="275"/>
      <c r="V30" s="272"/>
      <c r="W30" s="272"/>
    </row>
    <row r="31" spans="2:23" ht="15.95" customHeight="1">
      <c r="B31" s="279" t="s">
        <v>267</v>
      </c>
      <c r="C31" s="146" t="s">
        <v>227</v>
      </c>
      <c r="D31" s="577">
        <f t="shared" si="6"/>
        <v>10.36</v>
      </c>
      <c r="E31" s="572">
        <f t="shared" si="7"/>
        <v>13.468999999999999</v>
      </c>
      <c r="F31" s="572">
        <f t="shared" si="8"/>
        <v>1.7999999999999999E-2</v>
      </c>
      <c r="G31" s="572">
        <f t="shared" si="9"/>
        <v>3.1E-2</v>
      </c>
      <c r="H31" s="572">
        <f t="shared" si="10"/>
        <v>2.1999999999999999E-2</v>
      </c>
      <c r="K31" t="s">
        <v>304</v>
      </c>
      <c r="L31">
        <v>48.097999999999999</v>
      </c>
      <c r="M31">
        <v>13.835000000000001</v>
      </c>
      <c r="N31">
        <v>7.0999999999999994E-2</v>
      </c>
      <c r="O31">
        <v>9.0999999999999998E-2</v>
      </c>
      <c r="P31">
        <v>0.08</v>
      </c>
      <c r="U31" s="275"/>
      <c r="V31" s="272"/>
      <c r="W31" s="272"/>
    </row>
    <row r="32" spans="2:23" ht="15.95" customHeight="1">
      <c r="B32" s="279" t="s">
        <v>267</v>
      </c>
      <c r="C32" s="146" t="s">
        <v>228</v>
      </c>
      <c r="D32" s="577">
        <f t="shared" si="6"/>
        <v>11.773</v>
      </c>
      <c r="E32" s="572">
        <f t="shared" si="7"/>
        <v>13.015000000000001</v>
      </c>
      <c r="F32" s="572">
        <f t="shared" si="8"/>
        <v>2.1999999999999999E-2</v>
      </c>
      <c r="G32" s="572">
        <f t="shared" si="9"/>
        <v>3.5000000000000003E-2</v>
      </c>
      <c r="H32" s="572">
        <f t="shared" si="10"/>
        <v>2.5999999999999999E-2</v>
      </c>
      <c r="K32" t="s">
        <v>305</v>
      </c>
      <c r="L32">
        <v>10.36</v>
      </c>
      <c r="M32">
        <v>13.468999999999999</v>
      </c>
      <c r="N32">
        <v>1.7999999999999999E-2</v>
      </c>
      <c r="O32">
        <v>3.1E-2</v>
      </c>
      <c r="P32">
        <v>2.1999999999999999E-2</v>
      </c>
      <c r="U32" s="275"/>
      <c r="V32" s="272"/>
      <c r="W32" s="272"/>
    </row>
    <row r="33" spans="2:23" ht="15.95" customHeight="1">
      <c r="B33" s="279" t="s">
        <v>252</v>
      </c>
      <c r="C33" s="146" t="s">
        <v>231</v>
      </c>
      <c r="D33" s="577">
        <f t="shared" si="6"/>
        <v>5.1509999999999998</v>
      </c>
      <c r="E33" s="572">
        <f t="shared" si="7"/>
        <v>12.257</v>
      </c>
      <c r="F33" s="572">
        <f t="shared" si="8"/>
        <v>0.01</v>
      </c>
      <c r="G33" s="572">
        <f t="shared" si="9"/>
        <v>2.1000000000000001E-2</v>
      </c>
      <c r="H33" s="572">
        <f t="shared" si="10"/>
        <v>1.2E-2</v>
      </c>
      <c r="K33" t="s">
        <v>306</v>
      </c>
      <c r="L33">
        <v>11.773</v>
      </c>
      <c r="M33">
        <v>13.015000000000001</v>
      </c>
      <c r="N33">
        <v>2.1999999999999999E-2</v>
      </c>
      <c r="O33">
        <v>3.5000000000000003E-2</v>
      </c>
      <c r="P33">
        <v>2.5999999999999999E-2</v>
      </c>
      <c r="U33" s="275"/>
      <c r="V33" s="272"/>
      <c r="W33" s="272"/>
    </row>
    <row r="34" spans="2:23" ht="15.95" customHeight="1">
      <c r="B34" s="279" t="s">
        <v>252</v>
      </c>
      <c r="C34" s="146" t="s">
        <v>253</v>
      </c>
      <c r="D34" s="577">
        <f t="shared" si="6"/>
        <v>5.68</v>
      </c>
      <c r="E34" s="572">
        <f t="shared" si="7"/>
        <v>11.567</v>
      </c>
      <c r="F34" s="572">
        <f t="shared" si="8"/>
        <v>8.9999999999999993E-3</v>
      </c>
      <c r="G34" s="572">
        <f t="shared" si="9"/>
        <v>0.01</v>
      </c>
      <c r="H34" s="572">
        <f t="shared" si="10"/>
        <v>1.0999999999999999E-2</v>
      </c>
      <c r="K34" t="s">
        <v>307</v>
      </c>
      <c r="L34">
        <v>5.1509999999999998</v>
      </c>
      <c r="M34">
        <v>12.257</v>
      </c>
      <c r="N34">
        <v>0.01</v>
      </c>
      <c r="O34">
        <v>2.1000000000000001E-2</v>
      </c>
      <c r="P34">
        <v>1.2E-2</v>
      </c>
      <c r="U34" s="275"/>
      <c r="V34" s="272"/>
      <c r="W34" s="272"/>
    </row>
    <row r="35" spans="2:23" ht="15.95" customHeight="1">
      <c r="B35" s="279" t="s">
        <v>243</v>
      </c>
      <c r="C35" s="146" t="s">
        <v>177</v>
      </c>
      <c r="D35" s="577">
        <f t="shared" si="6"/>
        <v>0.44500000000000001</v>
      </c>
      <c r="E35" s="572">
        <f t="shared" si="7"/>
        <v>40.5</v>
      </c>
      <c r="F35" s="572">
        <f t="shared" si="8"/>
        <v>-3.0000000000000001E-3</v>
      </c>
      <c r="G35" s="572">
        <f t="shared" si="9"/>
        <v>-2E-3</v>
      </c>
      <c r="H35" s="572">
        <f t="shared" si="10"/>
        <v>-2E-3</v>
      </c>
      <c r="K35" t="s">
        <v>308</v>
      </c>
      <c r="L35">
        <v>5.68</v>
      </c>
      <c r="M35">
        <v>11.567</v>
      </c>
      <c r="N35">
        <v>8.9999999999999993E-3</v>
      </c>
      <c r="O35">
        <v>0.01</v>
      </c>
      <c r="P35">
        <v>1.0999999999999999E-2</v>
      </c>
      <c r="U35" s="275"/>
      <c r="V35" s="272"/>
      <c r="W35" s="272"/>
    </row>
    <row r="36" spans="2:23" ht="15.95" customHeight="1">
      <c r="B36" s="282" t="s">
        <v>268</v>
      </c>
      <c r="C36" s="163" t="s">
        <v>177</v>
      </c>
      <c r="D36" s="579">
        <f t="shared" si="6"/>
        <v>2.1070000000000002</v>
      </c>
      <c r="E36" s="574">
        <f t="shared" si="7"/>
        <v>41.728999999999999</v>
      </c>
      <c r="F36" s="574">
        <f t="shared" si="8"/>
        <v>-1.4999999999999999E-2</v>
      </c>
      <c r="G36" s="574">
        <f t="shared" si="9"/>
        <v>-1E-3</v>
      </c>
      <c r="H36" s="574">
        <f t="shared" si="10"/>
        <v>-1.0999999999999999E-2</v>
      </c>
      <c r="K36" t="s">
        <v>26</v>
      </c>
      <c r="L36">
        <v>0.44500000000000001</v>
      </c>
      <c r="M36">
        <v>40.5</v>
      </c>
      <c r="N36">
        <v>-3.0000000000000001E-3</v>
      </c>
      <c r="O36">
        <v>-2E-3</v>
      </c>
      <c r="P36">
        <v>-2E-3</v>
      </c>
      <c r="U36" s="275"/>
      <c r="V36" s="272"/>
      <c r="W36" s="272"/>
    </row>
    <row r="37" spans="2:23" ht="15.95" customHeight="1">
      <c r="B37" s="571" t="s">
        <v>49</v>
      </c>
      <c r="C37" s="165"/>
      <c r="D37" s="578"/>
      <c r="E37" s="573"/>
      <c r="F37" s="573"/>
      <c r="G37" s="573"/>
      <c r="H37" s="573"/>
      <c r="K37" t="s">
        <v>309</v>
      </c>
      <c r="L37">
        <v>2.1070000000000002</v>
      </c>
      <c r="M37">
        <v>41.728999999999999</v>
      </c>
      <c r="N37">
        <v>-1.4999999999999999E-2</v>
      </c>
      <c r="O37">
        <v>-1E-3</v>
      </c>
      <c r="P37">
        <v>-1.0999999999999999E-2</v>
      </c>
      <c r="U37" s="275"/>
      <c r="V37" s="272"/>
      <c r="W37" s="272"/>
    </row>
    <row r="38" spans="2:23" ht="15.95" customHeight="1">
      <c r="B38" s="279" t="s">
        <v>194</v>
      </c>
      <c r="C38" s="146" t="s">
        <v>212</v>
      </c>
      <c r="D38" s="577">
        <f>L40</f>
        <v>23.870999999999999</v>
      </c>
      <c r="E38" s="572">
        <f t="shared" ref="E38" si="11">M40</f>
        <v>15.089</v>
      </c>
      <c r="F38" s="572">
        <f t="shared" ref="F38" si="12">N40</f>
        <v>3.4000000000000002E-2</v>
      </c>
      <c r="G38" s="572">
        <f t="shared" ref="G38" si="13">O40</f>
        <v>5.0999999999999997E-2</v>
      </c>
      <c r="H38" s="572">
        <f t="shared" ref="H38" si="14">P40</f>
        <v>4.5999999999999999E-2</v>
      </c>
      <c r="K38"/>
      <c r="L38"/>
      <c r="M38"/>
      <c r="N38"/>
      <c r="O38"/>
      <c r="P38"/>
      <c r="U38" s="275"/>
      <c r="V38" s="272"/>
      <c r="W38" s="272"/>
    </row>
    <row r="39" spans="2:23" ht="15.95" customHeight="1">
      <c r="B39" s="282" t="s">
        <v>194</v>
      </c>
      <c r="C39" s="163" t="s">
        <v>213</v>
      </c>
      <c r="D39" s="579">
        <f>L41</f>
        <v>23.870999999999999</v>
      </c>
      <c r="E39" s="574">
        <f t="shared" ref="E39" si="15">M41</f>
        <v>15.089</v>
      </c>
      <c r="F39" s="574">
        <f t="shared" ref="F39" si="16">N41</f>
        <v>3.4000000000000002E-2</v>
      </c>
      <c r="G39" s="574">
        <f t="shared" ref="G39" si="17">O41</f>
        <v>5.0999999999999997E-2</v>
      </c>
      <c r="H39" s="574">
        <f t="shared" ref="H39" si="18">P41</f>
        <v>4.5999999999999999E-2</v>
      </c>
      <c r="K39"/>
      <c r="L39"/>
      <c r="M39"/>
      <c r="N39"/>
      <c r="O39"/>
      <c r="P39"/>
      <c r="U39" s="276"/>
      <c r="V39" s="272"/>
      <c r="W39" s="272"/>
    </row>
    <row r="40" spans="2:23" ht="15.95" customHeight="1">
      <c r="B40" s="571" t="s">
        <v>22</v>
      </c>
      <c r="C40" s="165"/>
      <c r="D40" s="580"/>
      <c r="E40" s="575"/>
      <c r="F40" s="575"/>
      <c r="G40" s="575"/>
      <c r="H40" s="575"/>
      <c r="K40" t="s">
        <v>310</v>
      </c>
      <c r="L40">
        <v>23.870999999999999</v>
      </c>
      <c r="M40">
        <v>15.089</v>
      </c>
      <c r="N40">
        <v>3.4000000000000002E-2</v>
      </c>
      <c r="O40">
        <v>5.0999999999999997E-2</v>
      </c>
      <c r="P40">
        <v>4.5999999999999999E-2</v>
      </c>
      <c r="U40" s="274"/>
      <c r="V40" s="272"/>
      <c r="W40" s="272"/>
    </row>
    <row r="41" spans="2:23" ht="15.95" customHeight="1">
      <c r="B41" s="279" t="s">
        <v>73</v>
      </c>
      <c r="C41" s="146" t="s">
        <v>245</v>
      </c>
      <c r="D41" s="577">
        <f>L44</f>
        <v>8.1530000000000005</v>
      </c>
      <c r="E41" s="572">
        <f t="shared" ref="E41" si="19">M44</f>
        <v>12.3</v>
      </c>
      <c r="F41" s="572">
        <f t="shared" ref="F41" si="20">N44</f>
        <v>1.4999999999999999E-2</v>
      </c>
      <c r="G41" s="572">
        <f t="shared" ref="G41" si="21">O44</f>
        <v>2.7E-2</v>
      </c>
      <c r="H41" s="572">
        <f t="shared" ref="H41" si="22">P44</f>
        <v>1.7999999999999999E-2</v>
      </c>
      <c r="K41" t="s">
        <v>311</v>
      </c>
      <c r="L41">
        <v>23.870999999999999</v>
      </c>
      <c r="M41">
        <v>15.089</v>
      </c>
      <c r="N41">
        <v>3.4000000000000002E-2</v>
      </c>
      <c r="O41">
        <v>5.0999999999999997E-2</v>
      </c>
      <c r="P41">
        <v>4.5999999999999999E-2</v>
      </c>
      <c r="U41" s="275"/>
      <c r="V41" s="272"/>
      <c r="W41" s="272"/>
    </row>
    <row r="42" spans="2:23" ht="15">
      <c r="B42" s="282" t="s">
        <v>269</v>
      </c>
      <c r="C42" s="163" t="s">
        <v>246</v>
      </c>
      <c r="D42" s="579">
        <f>L45</f>
        <v>3.6269999999999998</v>
      </c>
      <c r="E42" s="574">
        <f t="shared" ref="E42" si="23">M45</f>
        <v>23.347999999999999</v>
      </c>
      <c r="F42" s="574">
        <f t="shared" ref="F42" si="24">N45</f>
        <v>-6.0000000000000001E-3</v>
      </c>
      <c r="G42" s="574">
        <f t="shared" ref="G42" si="25">O45</f>
        <v>5.0000000000000001E-3</v>
      </c>
      <c r="H42" s="574">
        <f t="shared" ref="H42" si="26">P45</f>
        <v>-5.0000000000000001E-3</v>
      </c>
      <c r="K42"/>
      <c r="L42"/>
      <c r="M42"/>
      <c r="N42"/>
      <c r="O42"/>
      <c r="P42"/>
      <c r="U42" s="275"/>
      <c r="V42" s="272"/>
      <c r="W42" s="272"/>
    </row>
    <row r="43" spans="2:23" ht="15">
      <c r="B43" s="571" t="s">
        <v>48</v>
      </c>
      <c r="C43" s="165"/>
      <c r="D43" s="580"/>
      <c r="E43" s="575"/>
      <c r="F43" s="575"/>
      <c r="G43" s="575"/>
      <c r="H43" s="575"/>
      <c r="K43"/>
      <c r="L43"/>
      <c r="M43"/>
      <c r="N43"/>
      <c r="O43"/>
      <c r="P43"/>
      <c r="U43" s="276"/>
      <c r="V43" s="272"/>
      <c r="W43" s="272"/>
    </row>
    <row r="44" spans="2:23" ht="15">
      <c r="B44" s="279" t="s">
        <v>261</v>
      </c>
      <c r="C44" s="146" t="s">
        <v>251</v>
      </c>
      <c r="D44" s="577">
        <f>L48</f>
        <v>9.4209999999999994</v>
      </c>
      <c r="E44" s="572">
        <f t="shared" ref="E44" si="27">M48</f>
        <v>12.022</v>
      </c>
      <c r="F44" s="572">
        <f t="shared" ref="F44" si="28">N48</f>
        <v>1.9E-2</v>
      </c>
      <c r="G44" s="572">
        <f t="shared" ref="G44" si="29">O48</f>
        <v>3.1E-2</v>
      </c>
      <c r="H44" s="572">
        <f t="shared" ref="H44" si="30">P48</f>
        <v>2.1000000000000001E-2</v>
      </c>
      <c r="K44" t="s">
        <v>312</v>
      </c>
      <c r="L44">
        <v>8.1530000000000005</v>
      </c>
      <c r="M44">
        <v>12.3</v>
      </c>
      <c r="N44">
        <v>1.4999999999999999E-2</v>
      </c>
      <c r="O44">
        <v>2.7E-2</v>
      </c>
      <c r="P44">
        <v>1.7999999999999999E-2</v>
      </c>
      <c r="U44" s="274"/>
      <c r="V44" s="272"/>
      <c r="W44" s="272"/>
    </row>
    <row r="45" spans="2:23" ht="15">
      <c r="B45" s="281" t="s">
        <v>257</v>
      </c>
      <c r="C45" s="146" t="s">
        <v>247</v>
      </c>
      <c r="D45" s="577">
        <f t="shared" ref="D45:D49" si="31">L49</f>
        <v>8.4920000000000009</v>
      </c>
      <c r="E45" s="572">
        <f t="shared" ref="E45:E49" si="32">M49</f>
        <v>12.023</v>
      </c>
      <c r="F45" s="572">
        <f t="shared" ref="F45:F49" si="33">N49</f>
        <v>1.7000000000000001E-2</v>
      </c>
      <c r="G45" s="572">
        <f t="shared" ref="G45:G49" si="34">O49</f>
        <v>2.8000000000000001E-2</v>
      </c>
      <c r="H45" s="572">
        <f t="shared" ref="H45:H49" si="35">P49</f>
        <v>1.9E-2</v>
      </c>
      <c r="K45" t="s">
        <v>313</v>
      </c>
      <c r="L45">
        <v>3.6269999999999998</v>
      </c>
      <c r="M45">
        <v>23.347999999999999</v>
      </c>
      <c r="N45">
        <v>-6.0000000000000001E-3</v>
      </c>
      <c r="O45">
        <v>5.0000000000000001E-3</v>
      </c>
      <c r="P45">
        <v>-5.0000000000000001E-3</v>
      </c>
      <c r="U45" s="275"/>
      <c r="V45" s="272"/>
      <c r="W45" s="272"/>
    </row>
    <row r="46" spans="2:23" ht="15">
      <c r="B46" s="281" t="s">
        <v>258</v>
      </c>
      <c r="C46" s="146" t="s">
        <v>248</v>
      </c>
      <c r="D46" s="577">
        <f t="shared" si="31"/>
        <v>3.605</v>
      </c>
      <c r="E46" s="572">
        <f t="shared" si="32"/>
        <v>23.347999999999999</v>
      </c>
      <c r="F46" s="572">
        <f t="shared" si="33"/>
        <v>-7.0000000000000001E-3</v>
      </c>
      <c r="G46" s="572">
        <f t="shared" si="34"/>
        <v>6.0000000000000001E-3</v>
      </c>
      <c r="H46" s="572">
        <f t="shared" si="35"/>
        <v>-4.0000000000000001E-3</v>
      </c>
      <c r="K46"/>
      <c r="L46"/>
      <c r="M46"/>
      <c r="N46"/>
      <c r="O46"/>
      <c r="P46"/>
      <c r="U46" s="275"/>
      <c r="V46" s="272"/>
      <c r="W46" s="272"/>
    </row>
    <row r="47" spans="2:23" ht="15">
      <c r="B47" s="281" t="s">
        <v>259</v>
      </c>
      <c r="C47" s="146" t="s">
        <v>249</v>
      </c>
      <c r="D47" s="577">
        <f t="shared" si="31"/>
        <v>6.8540000000000001</v>
      </c>
      <c r="E47" s="572">
        <f t="shared" si="32"/>
        <v>7.4550000000000001</v>
      </c>
      <c r="F47" s="572">
        <f t="shared" si="33"/>
        <v>2.3E-2</v>
      </c>
      <c r="G47" s="572">
        <f t="shared" si="34"/>
        <v>2.3E-2</v>
      </c>
      <c r="H47" s="572">
        <f t="shared" si="35"/>
        <v>2.4E-2</v>
      </c>
      <c r="K47"/>
      <c r="L47"/>
      <c r="M47"/>
      <c r="N47"/>
      <c r="O47"/>
      <c r="P47"/>
      <c r="U47" s="276"/>
      <c r="V47" s="272"/>
      <c r="W47" s="272"/>
    </row>
    <row r="48" spans="2:23" ht="15">
      <c r="B48" s="279" t="s">
        <v>260</v>
      </c>
      <c r="C48" s="146" t="s">
        <v>250</v>
      </c>
      <c r="D48" s="577">
        <f t="shared" si="31"/>
        <v>15.583</v>
      </c>
      <c r="E48" s="572">
        <f t="shared" si="32"/>
        <v>7.1070000000000002</v>
      </c>
      <c r="F48" s="572">
        <f t="shared" si="33"/>
        <v>5.1999999999999998E-2</v>
      </c>
      <c r="G48" s="572">
        <f t="shared" si="34"/>
        <v>7.2999999999999995E-2</v>
      </c>
      <c r="H48" s="572">
        <f t="shared" si="35"/>
        <v>5.5E-2</v>
      </c>
      <c r="K48" t="s">
        <v>314</v>
      </c>
      <c r="L48">
        <v>9.4209999999999994</v>
      </c>
      <c r="M48">
        <v>12.022</v>
      </c>
      <c r="N48">
        <v>1.9E-2</v>
      </c>
      <c r="O48">
        <v>3.1E-2</v>
      </c>
      <c r="P48">
        <v>2.1000000000000001E-2</v>
      </c>
      <c r="U48" s="274"/>
      <c r="V48" s="272"/>
      <c r="W48" s="272"/>
    </row>
    <row r="49" spans="2:23" ht="15">
      <c r="B49" s="282" t="s">
        <v>281</v>
      </c>
      <c r="C49" s="163" t="s">
        <v>177</v>
      </c>
      <c r="D49" s="579">
        <f t="shared" si="31"/>
        <v>0.85599999999999998</v>
      </c>
      <c r="E49" s="574">
        <f t="shared" si="32"/>
        <v>40.847999999999999</v>
      </c>
      <c r="F49" s="574">
        <f t="shared" si="33"/>
        <v>-5.0000000000000001E-3</v>
      </c>
      <c r="G49" s="574">
        <f t="shared" si="34"/>
        <v>-4.0000000000000001E-3</v>
      </c>
      <c r="H49" s="574">
        <f t="shared" si="35"/>
        <v>-5.0000000000000001E-3</v>
      </c>
      <c r="K49" t="s">
        <v>315</v>
      </c>
      <c r="L49">
        <v>8.4920000000000009</v>
      </c>
      <c r="M49">
        <v>12.023</v>
      </c>
      <c r="N49">
        <v>1.7000000000000001E-2</v>
      </c>
      <c r="O49">
        <v>2.8000000000000001E-2</v>
      </c>
      <c r="P49">
        <v>1.9E-2</v>
      </c>
      <c r="U49" s="275"/>
      <c r="V49" s="272"/>
      <c r="W49" s="272"/>
    </row>
    <row r="50" spans="2:23" ht="14.25">
      <c r="B50" s="280" t="s">
        <v>24</v>
      </c>
      <c r="C50" s="53"/>
      <c r="D50" s="10"/>
      <c r="E50" s="576"/>
      <c r="F50" s="576"/>
      <c r="G50" s="576"/>
      <c r="H50" s="576"/>
      <c r="K50" t="s">
        <v>316</v>
      </c>
      <c r="L50">
        <v>3.605</v>
      </c>
      <c r="M50">
        <v>23.347999999999999</v>
      </c>
      <c r="N50">
        <v>-7.0000000000000001E-3</v>
      </c>
      <c r="O50">
        <v>6.0000000000000001E-3</v>
      </c>
      <c r="P50">
        <v>-4.0000000000000001E-3</v>
      </c>
      <c r="U50" s="277"/>
      <c r="V50" s="272"/>
      <c r="W50" s="272"/>
    </row>
    <row r="51" spans="2:23" ht="15">
      <c r="B51" s="282" t="s">
        <v>270</v>
      </c>
      <c r="C51" s="163" t="s">
        <v>238</v>
      </c>
      <c r="D51" s="577">
        <f>L56</f>
        <v>151.739</v>
      </c>
      <c r="E51" s="572">
        <f t="shared" ref="E51" si="36">M56</f>
        <v>10.824999999999999</v>
      </c>
      <c r="F51" s="572">
        <f t="shared" ref="F51" si="37">N56</f>
        <v>0.26200000000000001</v>
      </c>
      <c r="G51" s="572">
        <f t="shared" ref="G51" si="38">O56</f>
        <v>0.315</v>
      </c>
      <c r="H51" s="572">
        <f t="shared" ref="H51" si="39">P56</f>
        <v>0.311</v>
      </c>
      <c r="K51" t="s">
        <v>317</v>
      </c>
      <c r="L51">
        <v>6.8540000000000001</v>
      </c>
      <c r="M51">
        <v>7.4550000000000001</v>
      </c>
      <c r="N51">
        <v>2.3E-2</v>
      </c>
      <c r="O51">
        <v>2.3E-2</v>
      </c>
      <c r="P51">
        <v>2.4E-2</v>
      </c>
      <c r="U51" s="277"/>
      <c r="V51" s="272"/>
      <c r="W51" s="272"/>
    </row>
    <row r="52" spans="2:23" ht="14.25">
      <c r="B52" s="280" t="s">
        <v>271</v>
      </c>
      <c r="C52" s="53"/>
      <c r="D52" s="580"/>
      <c r="E52" s="575"/>
      <c r="F52" s="575"/>
      <c r="G52" s="575"/>
      <c r="H52" s="575"/>
      <c r="K52" t="s">
        <v>318</v>
      </c>
      <c r="L52">
        <v>15.583</v>
      </c>
      <c r="M52">
        <v>7.1070000000000002</v>
      </c>
      <c r="N52">
        <v>5.1999999999999998E-2</v>
      </c>
      <c r="O52">
        <v>7.2999999999999995E-2</v>
      </c>
      <c r="P52">
        <v>5.5E-2</v>
      </c>
      <c r="U52" s="277"/>
      <c r="V52" s="272"/>
      <c r="W52" s="272"/>
    </row>
    <row r="53" spans="2:23" ht="15">
      <c r="B53" s="282" t="s">
        <v>272</v>
      </c>
      <c r="C53" s="163" t="s">
        <v>273</v>
      </c>
      <c r="D53" s="284">
        <f>L59</f>
        <v>1.59</v>
      </c>
      <c r="E53" s="284">
        <f t="shared" ref="E53:H53" si="40">M59</f>
        <v>1.7210000000000001</v>
      </c>
      <c r="F53" s="284">
        <f t="shared" si="40"/>
        <v>7.0000000000000001E-3</v>
      </c>
      <c r="G53" s="284">
        <f t="shared" si="40"/>
        <v>7.0000000000000001E-3</v>
      </c>
      <c r="H53" s="284">
        <f t="shared" si="40"/>
        <v>7.0000000000000001E-3</v>
      </c>
      <c r="K53" t="s">
        <v>319</v>
      </c>
      <c r="L53">
        <v>0.85599999999999998</v>
      </c>
      <c r="M53">
        <v>40.847999999999999</v>
      </c>
      <c r="N53">
        <v>-5.0000000000000001E-3</v>
      </c>
      <c r="O53">
        <v>-4.0000000000000001E-3</v>
      </c>
      <c r="P53">
        <v>-5.0000000000000001E-3</v>
      </c>
      <c r="U53" s="275"/>
      <c r="V53" s="272"/>
      <c r="W53" s="272"/>
    </row>
    <row r="54" spans="2:23" ht="15">
      <c r="K54"/>
      <c r="L54"/>
      <c r="M54"/>
      <c r="N54"/>
      <c r="O54"/>
      <c r="P54"/>
      <c r="U54" s="275"/>
      <c r="V54" s="272"/>
      <c r="W54" s="272"/>
    </row>
    <row r="55" spans="2:23" ht="15">
      <c r="K55"/>
      <c r="L55"/>
      <c r="M55"/>
      <c r="N55"/>
      <c r="O55"/>
      <c r="P55"/>
      <c r="U55" s="276"/>
      <c r="V55" s="272"/>
      <c r="W55" s="272"/>
    </row>
    <row r="56" spans="2:23" ht="14.25">
      <c r="K56" t="s">
        <v>320</v>
      </c>
      <c r="L56">
        <v>151.739</v>
      </c>
      <c r="M56">
        <v>10.824999999999999</v>
      </c>
      <c r="N56">
        <v>0.26200000000000001</v>
      </c>
      <c r="O56">
        <v>0.315</v>
      </c>
      <c r="P56">
        <v>0.311</v>
      </c>
      <c r="U56" s="274"/>
      <c r="V56" s="272"/>
      <c r="W56" s="272"/>
    </row>
    <row r="57" spans="2:23" ht="15">
      <c r="K57"/>
      <c r="L57"/>
      <c r="M57"/>
      <c r="N57"/>
      <c r="O57"/>
      <c r="P57"/>
      <c r="U57" s="275"/>
      <c r="V57" s="272"/>
      <c r="W57" s="272"/>
    </row>
    <row r="58" spans="2:23" ht="14.25">
      <c r="K58"/>
      <c r="L58"/>
      <c r="M58"/>
      <c r="N58"/>
      <c r="O58"/>
      <c r="P58"/>
      <c r="U58" s="274"/>
      <c r="V58" s="272"/>
      <c r="W58" s="272"/>
    </row>
    <row r="59" spans="2:23" ht="15">
      <c r="K59" t="s">
        <v>321</v>
      </c>
      <c r="L59">
        <v>1.59</v>
      </c>
      <c r="M59">
        <v>1.7210000000000001</v>
      </c>
      <c r="N59">
        <v>7.0000000000000001E-3</v>
      </c>
      <c r="O59">
        <v>7.0000000000000001E-3</v>
      </c>
      <c r="P59">
        <v>7.0000000000000001E-3</v>
      </c>
      <c r="U59" s="275"/>
      <c r="V59" s="272"/>
      <c r="W59" s="272"/>
    </row>
    <row r="60" spans="2:23">
      <c r="U60" s="272"/>
      <c r="V60" s="272"/>
      <c r="W60" s="272"/>
    </row>
  </sheetData>
  <mergeCells count="3">
    <mergeCell ref="F2:H2"/>
    <mergeCell ref="F5:H5"/>
    <mergeCell ref="D2:E2"/>
  </mergeCells>
  <phoneticPr fontId="10" type="noConversion"/>
  <pageMargins left="0.75" right="0.75" top="1" bottom="1" header="0.5" footer="0.5"/>
  <pageSetup scale="84" orientation="portrait" r:id="rId1"/>
  <headerFooter alignWithMargins="0"/>
  <ignoredErrors>
    <ignoredError sqref="C50:C52 C7:C49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B3:L31"/>
  <sheetViews>
    <sheetView workbookViewId="0">
      <selection activeCell="F7" sqref="F7"/>
    </sheetView>
  </sheetViews>
  <sheetFormatPr defaultRowHeight="12.75"/>
  <cols>
    <col min="1" max="1" width="7.5" customWidth="1"/>
    <col min="2" max="2" width="28" customWidth="1"/>
    <col min="3" max="6" width="12.83203125" customWidth="1"/>
  </cols>
  <sheetData>
    <row r="3" spans="2:9" ht="13.5" customHeight="1">
      <c r="B3" s="21" t="s">
        <v>17</v>
      </c>
      <c r="C3" s="20" t="s">
        <v>31</v>
      </c>
      <c r="D3" s="638" t="s">
        <v>28</v>
      </c>
      <c r="E3" s="638"/>
      <c r="F3" s="638"/>
    </row>
    <row r="4" spans="2:9" ht="13.5" customHeight="1">
      <c r="B4" s="26"/>
      <c r="C4" s="22" t="s">
        <v>29</v>
      </c>
      <c r="D4" s="286">
        <v>3600</v>
      </c>
      <c r="E4" s="286">
        <v>3900</v>
      </c>
      <c r="F4" s="286">
        <v>4200</v>
      </c>
      <c r="I4" s="330" t="s">
        <v>20</v>
      </c>
    </row>
    <row r="5" spans="2:9" ht="13.5" customHeight="1">
      <c r="B5" s="26"/>
      <c r="C5" s="22" t="s">
        <v>30</v>
      </c>
      <c r="D5" s="285">
        <v>20</v>
      </c>
      <c r="E5" s="285">
        <v>20.5</v>
      </c>
      <c r="F5" s="285">
        <v>21</v>
      </c>
      <c r="I5" s="3" t="s">
        <v>262</v>
      </c>
    </row>
    <row r="6" spans="2:9" ht="13.5" customHeight="1">
      <c r="B6" s="26"/>
      <c r="C6" s="326" t="s">
        <v>322</v>
      </c>
      <c r="D6" s="639" t="s">
        <v>323</v>
      </c>
      <c r="E6" s="639"/>
      <c r="F6" s="639"/>
      <c r="I6" s="3"/>
    </row>
    <row r="7" spans="2:9" ht="13.5" customHeight="1">
      <c r="B7" s="430" t="s">
        <v>420</v>
      </c>
      <c r="C7" s="328">
        <f>I7+3</f>
        <v>77</v>
      </c>
      <c r="D7" s="433">
        <f>D$5-(D$4*D$5+$C7*10)/(D$4+10)</f>
        <v>-0.1578947368421062</v>
      </c>
      <c r="E7" s="329">
        <f t="shared" ref="E7:F18" si="0">E$5-(E$4*E$5+$C7*10)/(E$4+10)</f>
        <v>-0.14450127877237762</v>
      </c>
      <c r="F7" s="329">
        <f t="shared" si="0"/>
        <v>-0.13301662707838346</v>
      </c>
      <c r="I7" s="194">
        <v>74</v>
      </c>
    </row>
    <row r="8" spans="2:9" ht="13.5" customHeight="1">
      <c r="B8" s="39" t="s">
        <v>421</v>
      </c>
      <c r="C8" s="30">
        <f t="shared" ref="C8:C18" si="1">I8+3</f>
        <v>68</v>
      </c>
      <c r="D8" s="189">
        <f t="shared" ref="D8:D18" si="2">D$5-(D$4*D$5+$C8*10)/(D$4+10)</f>
        <v>-0.13296398891966632</v>
      </c>
      <c r="E8" s="188">
        <f t="shared" si="0"/>
        <v>-0.12148337595908032</v>
      </c>
      <c r="F8" s="188">
        <f t="shared" si="0"/>
        <v>-0.11163895486935971</v>
      </c>
      <c r="I8" s="194">
        <v>65</v>
      </c>
    </row>
    <row r="9" spans="2:9" ht="13.5" customHeight="1">
      <c r="B9" s="39" t="s">
        <v>362</v>
      </c>
      <c r="C9" s="30">
        <f t="shared" si="1"/>
        <v>59</v>
      </c>
      <c r="D9" s="189">
        <f t="shared" si="2"/>
        <v>-0.10803324099723</v>
      </c>
      <c r="E9" s="188">
        <f t="shared" si="0"/>
        <v>-9.846547314577947E-2</v>
      </c>
      <c r="F9" s="188">
        <f t="shared" si="0"/>
        <v>-9.0261282660332398E-2</v>
      </c>
      <c r="I9" s="195">
        <v>56</v>
      </c>
    </row>
    <row r="10" spans="2:9" ht="13.5" customHeight="1">
      <c r="B10" s="39" t="s">
        <v>154</v>
      </c>
      <c r="C10" s="30">
        <f t="shared" si="1"/>
        <v>50</v>
      </c>
      <c r="D10" s="189">
        <f t="shared" si="2"/>
        <v>-8.3102493074793671E-2</v>
      </c>
      <c r="E10" s="188">
        <f t="shared" si="0"/>
        <v>-7.5447570332482172E-2</v>
      </c>
      <c r="F10" s="188">
        <f t="shared" si="0"/>
        <v>-6.8883610451305088E-2</v>
      </c>
      <c r="I10" s="195">
        <v>47</v>
      </c>
    </row>
    <row r="11" spans="2:9" ht="13.5" customHeight="1">
      <c r="B11" s="39" t="s">
        <v>155</v>
      </c>
      <c r="C11" s="30">
        <f t="shared" si="1"/>
        <v>41</v>
      </c>
      <c r="D11" s="189">
        <f t="shared" si="2"/>
        <v>-5.8171745152353793E-2</v>
      </c>
      <c r="E11" s="188">
        <f t="shared" si="0"/>
        <v>-5.2429667519181322E-2</v>
      </c>
      <c r="F11" s="188">
        <f t="shared" si="0"/>
        <v>-4.7505938242281331E-2</v>
      </c>
      <c r="I11" s="194">
        <v>38</v>
      </c>
    </row>
    <row r="12" spans="2:9" ht="13.5" customHeight="1">
      <c r="B12" s="431" t="s">
        <v>18</v>
      </c>
      <c r="C12" s="30">
        <f t="shared" si="1"/>
        <v>31</v>
      </c>
      <c r="D12" s="189">
        <f t="shared" si="2"/>
        <v>-3.0470914127423754E-2</v>
      </c>
      <c r="E12" s="188">
        <f t="shared" si="0"/>
        <v>-2.6854219948848623E-2</v>
      </c>
      <c r="F12" s="188">
        <f t="shared" si="0"/>
        <v>-2.3752969121140666E-2</v>
      </c>
      <c r="I12" s="194">
        <v>28</v>
      </c>
    </row>
    <row r="13" spans="2:9" ht="13.5" customHeight="1">
      <c r="B13" s="39" t="s">
        <v>422</v>
      </c>
      <c r="C13" s="30">
        <f t="shared" si="1"/>
        <v>22</v>
      </c>
      <c r="D13" s="189">
        <f t="shared" si="2"/>
        <v>-5.540166204987429E-3</v>
      </c>
      <c r="E13" s="188">
        <f t="shared" si="0"/>
        <v>-3.8363171355513259E-3</v>
      </c>
      <c r="F13" s="188">
        <f t="shared" si="0"/>
        <v>-2.375296912113356E-3</v>
      </c>
      <c r="I13" s="194">
        <v>19</v>
      </c>
    </row>
    <row r="14" spans="2:9" ht="13.5" customHeight="1">
      <c r="B14" s="431" t="s">
        <v>577</v>
      </c>
      <c r="C14" s="30">
        <f t="shared" si="1"/>
        <v>20.94</v>
      </c>
      <c r="D14" s="189">
        <f t="shared" si="2"/>
        <v>-2.6038781163428837E-3</v>
      </c>
      <c r="E14" s="188">
        <f t="shared" si="0"/>
        <v>-1.1253196930915976E-3</v>
      </c>
      <c r="F14" s="188">
        <f t="shared" si="0"/>
        <v>1.4251781472651714E-4</v>
      </c>
      <c r="I14" s="194">
        <v>17.940000000000001</v>
      </c>
    </row>
    <row r="15" spans="2:9" ht="13.5" customHeight="1">
      <c r="B15" s="431" t="s">
        <v>423</v>
      </c>
      <c r="C15" s="30">
        <f t="shared" si="1"/>
        <v>13.497</v>
      </c>
      <c r="D15" s="189">
        <f t="shared" si="2"/>
        <v>1.8013850415513843E-2</v>
      </c>
      <c r="E15" s="188">
        <f t="shared" si="0"/>
        <v>1.7910485933501974E-2</v>
      </c>
      <c r="F15" s="188">
        <f t="shared" si="0"/>
        <v>1.7821852731589871E-2</v>
      </c>
      <c r="I15" s="194">
        <v>10.497</v>
      </c>
    </row>
    <row r="16" spans="2:9" ht="13.5" customHeight="1">
      <c r="B16" s="39" t="s">
        <v>424</v>
      </c>
      <c r="C16" s="30">
        <f t="shared" si="1"/>
        <v>13</v>
      </c>
      <c r="D16" s="189">
        <f t="shared" si="2"/>
        <v>1.9390581717452449E-2</v>
      </c>
      <c r="E16" s="188">
        <f t="shared" si="0"/>
        <v>1.9181585677749524E-2</v>
      </c>
      <c r="F16" s="188">
        <f t="shared" si="0"/>
        <v>1.9002375296910401E-2</v>
      </c>
      <c r="I16" s="194">
        <v>10</v>
      </c>
    </row>
    <row r="17" spans="2:12">
      <c r="B17" s="39" t="s">
        <v>419</v>
      </c>
      <c r="C17" s="30">
        <f t="shared" si="1"/>
        <v>10</v>
      </c>
      <c r="D17" s="189">
        <f t="shared" si="2"/>
        <v>2.7700831024930039E-2</v>
      </c>
      <c r="E17" s="188">
        <f t="shared" si="0"/>
        <v>2.6854219948848623E-2</v>
      </c>
      <c r="F17" s="188">
        <f t="shared" si="0"/>
        <v>2.6128266033254022E-2</v>
      </c>
      <c r="I17" s="331">
        <v>7</v>
      </c>
    </row>
    <row r="18" spans="2:12">
      <c r="B18" s="432" t="s">
        <v>19</v>
      </c>
      <c r="C18" s="31">
        <f t="shared" si="1"/>
        <v>6.5</v>
      </c>
      <c r="D18" s="434">
        <f t="shared" si="2"/>
        <v>3.7396121883656264E-2</v>
      </c>
      <c r="E18" s="196">
        <f t="shared" si="0"/>
        <v>3.58056265984672E-2</v>
      </c>
      <c r="F18" s="196">
        <f t="shared" si="0"/>
        <v>3.4441805225654321E-2</v>
      </c>
      <c r="I18" s="332">
        <v>3.5</v>
      </c>
    </row>
    <row r="26" spans="2:12">
      <c r="K26" s="1"/>
      <c r="L26" s="1"/>
    </row>
    <row r="27" spans="2:12">
      <c r="K27" s="1"/>
      <c r="L27" s="1"/>
    </row>
    <row r="28" spans="2:12">
      <c r="K28" s="1"/>
      <c r="L28" s="1"/>
    </row>
    <row r="29" spans="2:12">
      <c r="K29" s="1"/>
      <c r="L29" s="1"/>
    </row>
    <row r="30" spans="2:12">
      <c r="K30" s="1"/>
      <c r="L30" s="1"/>
    </row>
    <row r="31" spans="2:12">
      <c r="K31" s="1"/>
      <c r="L31" s="1"/>
    </row>
  </sheetData>
  <mergeCells count="2">
    <mergeCell ref="D3:F3"/>
    <mergeCell ref="D6:F6"/>
  </mergeCells>
  <phoneticPr fontId="1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Q44"/>
  <sheetViews>
    <sheetView workbookViewId="0">
      <selection activeCell="E23" sqref="E23"/>
    </sheetView>
  </sheetViews>
  <sheetFormatPr defaultRowHeight="12.75"/>
  <cols>
    <col min="2" max="2" width="9.33203125" style="219"/>
  </cols>
  <sheetData>
    <row r="2" spans="2:17" ht="14.25" customHeight="1">
      <c r="B2" s="232" t="s">
        <v>193</v>
      </c>
      <c r="C2" s="233"/>
      <c r="D2" s="234"/>
      <c r="E2" s="232" t="s">
        <v>45</v>
      </c>
      <c r="F2" s="233"/>
      <c r="G2" s="234"/>
      <c r="H2" s="263" t="s">
        <v>73</v>
      </c>
      <c r="I2" s="233"/>
      <c r="J2" s="235"/>
      <c r="K2" s="231"/>
      <c r="L2" s="231"/>
      <c r="M2" s="231"/>
      <c r="N2" s="231"/>
      <c r="O2" s="231"/>
      <c r="P2" s="231"/>
      <c r="Q2" s="8"/>
    </row>
    <row r="3" spans="2:17" ht="14.25">
      <c r="B3" s="236" t="s">
        <v>199</v>
      </c>
      <c r="C3" s="237" t="s">
        <v>214</v>
      </c>
      <c r="D3" s="239"/>
      <c r="E3" s="236" t="s">
        <v>227</v>
      </c>
      <c r="F3" s="237" t="s">
        <v>239</v>
      </c>
      <c r="G3" s="239"/>
      <c r="H3" s="244" t="s">
        <v>245</v>
      </c>
      <c r="I3" s="237" t="s">
        <v>73</v>
      </c>
      <c r="J3" s="240"/>
      <c r="K3" s="221"/>
      <c r="L3" s="221"/>
      <c r="M3" s="221"/>
      <c r="N3" s="221"/>
      <c r="O3" s="221"/>
      <c r="P3" s="221"/>
      <c r="Q3" s="8"/>
    </row>
    <row r="4" spans="2:17" ht="15">
      <c r="B4" s="236" t="s">
        <v>200</v>
      </c>
      <c r="C4" s="237" t="s">
        <v>215</v>
      </c>
      <c r="D4" s="239"/>
      <c r="E4" s="236" t="s">
        <v>228</v>
      </c>
      <c r="F4" s="237" t="s">
        <v>240</v>
      </c>
      <c r="G4" s="239"/>
      <c r="H4" s="259" t="s">
        <v>246</v>
      </c>
      <c r="I4" s="266" t="s">
        <v>256</v>
      </c>
      <c r="J4" s="65"/>
      <c r="K4" s="224"/>
      <c r="L4" s="224"/>
      <c r="M4" s="224"/>
      <c r="N4" s="224"/>
      <c r="O4" s="224"/>
      <c r="P4" s="225"/>
      <c r="Q4" s="8"/>
    </row>
    <row r="5" spans="2:17" ht="15">
      <c r="B5" s="236" t="s">
        <v>201</v>
      </c>
      <c r="C5" s="237" t="s">
        <v>216</v>
      </c>
      <c r="D5" s="239"/>
      <c r="E5" s="236" t="s">
        <v>229</v>
      </c>
      <c r="F5" s="237" t="s">
        <v>45</v>
      </c>
      <c r="G5" s="239"/>
      <c r="H5" s="258"/>
      <c r="I5" s="238"/>
      <c r="J5" s="242"/>
      <c r="K5" s="224"/>
      <c r="L5" s="226"/>
      <c r="M5" s="224"/>
      <c r="N5" s="226"/>
      <c r="O5" s="224"/>
      <c r="P5" s="224"/>
      <c r="Q5" s="8"/>
    </row>
    <row r="6" spans="2:17" ht="15">
      <c r="B6" s="236" t="s">
        <v>202</v>
      </c>
      <c r="C6" s="237" t="s">
        <v>217</v>
      </c>
      <c r="D6" s="239"/>
      <c r="E6" s="236" t="s">
        <v>230</v>
      </c>
      <c r="F6" s="237" t="s">
        <v>45</v>
      </c>
      <c r="G6" s="239"/>
      <c r="H6" s="258" t="s">
        <v>48</v>
      </c>
      <c r="I6" s="237"/>
      <c r="J6" s="243"/>
      <c r="K6" s="227"/>
      <c r="L6" s="227"/>
      <c r="M6" s="227"/>
      <c r="N6" s="227"/>
      <c r="O6" s="227"/>
      <c r="P6" s="223"/>
      <c r="Q6" s="8"/>
    </row>
    <row r="7" spans="2:17" ht="15">
      <c r="B7" s="236" t="s">
        <v>203</v>
      </c>
      <c r="C7" s="237" t="s">
        <v>218</v>
      </c>
      <c r="D7" s="239"/>
      <c r="E7" s="236" t="s">
        <v>231</v>
      </c>
      <c r="F7" s="244" t="s">
        <v>252</v>
      </c>
      <c r="G7" s="239"/>
      <c r="H7" s="260" t="s">
        <v>247</v>
      </c>
      <c r="I7" s="237" t="s">
        <v>257</v>
      </c>
      <c r="J7" s="245"/>
      <c r="K7" s="223"/>
      <c r="L7" s="223"/>
      <c r="M7" s="223"/>
      <c r="N7" s="223"/>
      <c r="O7" s="223"/>
      <c r="P7" s="223"/>
      <c r="Q7" s="8"/>
    </row>
    <row r="8" spans="2:17" ht="15">
      <c r="B8" s="236" t="s">
        <v>204</v>
      </c>
      <c r="C8" s="237" t="s">
        <v>220</v>
      </c>
      <c r="D8" s="239"/>
      <c r="E8" s="236" t="s">
        <v>232</v>
      </c>
      <c r="F8" s="237" t="s">
        <v>45</v>
      </c>
      <c r="G8" s="239"/>
      <c r="H8" s="260" t="s">
        <v>248</v>
      </c>
      <c r="I8" s="237" t="s">
        <v>258</v>
      </c>
      <c r="J8" s="245"/>
      <c r="K8" s="223"/>
      <c r="L8" s="223"/>
      <c r="M8" s="223"/>
      <c r="N8" s="223"/>
      <c r="O8" s="223"/>
      <c r="P8" s="223"/>
      <c r="Q8" s="8"/>
    </row>
    <row r="9" spans="2:17" ht="15">
      <c r="B9" s="236" t="s">
        <v>205</v>
      </c>
      <c r="C9" s="237" t="s">
        <v>219</v>
      </c>
      <c r="D9" s="239"/>
      <c r="E9" s="236" t="s">
        <v>233</v>
      </c>
      <c r="F9" s="237" t="s">
        <v>45</v>
      </c>
      <c r="G9" s="239"/>
      <c r="H9" s="260" t="s">
        <v>249</v>
      </c>
      <c r="I9" s="220" t="s">
        <v>259</v>
      </c>
      <c r="J9" s="245"/>
      <c r="K9" s="223"/>
      <c r="L9" s="223"/>
      <c r="M9" s="223"/>
      <c r="N9" s="223"/>
      <c r="O9" s="223"/>
      <c r="P9" s="223"/>
      <c r="Q9" s="8"/>
    </row>
    <row r="10" spans="2:17" ht="15">
      <c r="B10" s="236" t="s">
        <v>206</v>
      </c>
      <c r="C10" s="237" t="s">
        <v>222</v>
      </c>
      <c r="D10" s="239"/>
      <c r="E10" s="236" t="s">
        <v>234</v>
      </c>
      <c r="F10" s="237" t="s">
        <v>45</v>
      </c>
      <c r="G10" s="239"/>
      <c r="H10" s="260" t="s">
        <v>250</v>
      </c>
      <c r="I10" s="220" t="s">
        <v>260</v>
      </c>
      <c r="J10" s="245"/>
      <c r="K10" s="223"/>
      <c r="L10" s="223"/>
      <c r="M10" s="223"/>
      <c r="N10" s="223"/>
      <c r="O10" s="223"/>
      <c r="P10" s="223"/>
      <c r="Q10" s="8"/>
    </row>
    <row r="11" spans="2:17" ht="15">
      <c r="B11" s="236" t="s">
        <v>207</v>
      </c>
      <c r="C11" s="237" t="s">
        <v>221</v>
      </c>
      <c r="D11" s="239"/>
      <c r="E11" s="236" t="s">
        <v>254</v>
      </c>
      <c r="F11" s="237" t="s">
        <v>45</v>
      </c>
      <c r="G11" s="239"/>
      <c r="H11" s="260" t="s">
        <v>251</v>
      </c>
      <c r="I11" s="220" t="s">
        <v>261</v>
      </c>
      <c r="J11" s="245"/>
      <c r="K11" s="223"/>
      <c r="L11" s="223"/>
      <c r="M11" s="223"/>
      <c r="N11" s="223"/>
      <c r="O11" s="223"/>
      <c r="P11" s="223"/>
      <c r="Q11" s="8"/>
    </row>
    <row r="12" spans="2:17" ht="15">
      <c r="B12" s="236" t="s">
        <v>208</v>
      </c>
      <c r="C12" s="237" t="s">
        <v>223</v>
      </c>
      <c r="D12" s="239"/>
      <c r="E12" s="236" t="s">
        <v>253</v>
      </c>
      <c r="F12" s="237" t="s">
        <v>252</v>
      </c>
      <c r="G12" s="239"/>
      <c r="H12" s="261"/>
      <c r="I12" s="220"/>
      <c r="J12" s="245"/>
      <c r="K12" s="223"/>
      <c r="L12" s="223"/>
      <c r="M12" s="223"/>
      <c r="N12" s="223"/>
      <c r="O12" s="223"/>
      <c r="P12" s="223"/>
      <c r="Q12" s="8"/>
    </row>
    <row r="13" spans="2:17" ht="15">
      <c r="B13" s="236" t="s">
        <v>209</v>
      </c>
      <c r="C13" s="237" t="s">
        <v>224</v>
      </c>
      <c r="D13" s="239"/>
      <c r="E13" s="236" t="s">
        <v>235</v>
      </c>
      <c r="F13" s="237" t="s">
        <v>45</v>
      </c>
      <c r="G13" s="239"/>
      <c r="H13" s="258" t="s">
        <v>194</v>
      </c>
      <c r="I13" s="238"/>
      <c r="J13" s="239"/>
      <c r="K13" s="223"/>
      <c r="L13" s="223"/>
      <c r="M13" s="223"/>
      <c r="N13" s="223"/>
      <c r="O13" s="223"/>
      <c r="P13" s="223"/>
      <c r="Q13" s="8"/>
    </row>
    <row r="14" spans="2:17" ht="15">
      <c r="B14" s="236" t="s">
        <v>211</v>
      </c>
      <c r="C14" s="237" t="s">
        <v>225</v>
      </c>
      <c r="D14" s="239"/>
      <c r="E14" s="236" t="s">
        <v>255</v>
      </c>
      <c r="F14" s="237" t="s">
        <v>45</v>
      </c>
      <c r="G14" s="239"/>
      <c r="H14" s="244" t="s">
        <v>212</v>
      </c>
      <c r="I14" s="237" t="s">
        <v>241</v>
      </c>
      <c r="J14" s="239"/>
      <c r="K14" s="229"/>
      <c r="L14" s="229"/>
      <c r="M14" s="229"/>
      <c r="N14" s="229"/>
      <c r="O14" s="227"/>
      <c r="P14" s="223"/>
      <c r="Q14" s="8"/>
    </row>
    <row r="15" spans="2:17" ht="15">
      <c r="B15" s="236" t="s">
        <v>210</v>
      </c>
      <c r="C15" s="237" t="s">
        <v>226</v>
      </c>
      <c r="D15" s="239"/>
      <c r="E15" s="236" t="s">
        <v>236</v>
      </c>
      <c r="F15" s="237" t="s">
        <v>45</v>
      </c>
      <c r="G15" s="239"/>
      <c r="H15" s="244" t="s">
        <v>213</v>
      </c>
      <c r="I15" s="237" t="s">
        <v>242</v>
      </c>
      <c r="J15" s="239"/>
      <c r="K15" s="223"/>
      <c r="L15" s="223"/>
      <c r="M15" s="223"/>
      <c r="N15" s="223"/>
      <c r="O15" s="223"/>
      <c r="P15" s="223"/>
      <c r="Q15" s="8"/>
    </row>
    <row r="16" spans="2:17" ht="15">
      <c r="B16" s="241"/>
      <c r="C16" s="238"/>
      <c r="D16" s="239"/>
      <c r="E16" s="236" t="s">
        <v>237</v>
      </c>
      <c r="F16" s="237" t="s">
        <v>45</v>
      </c>
      <c r="G16" s="239"/>
      <c r="H16" s="238"/>
      <c r="I16" s="238"/>
      <c r="J16" s="239"/>
      <c r="K16" s="223"/>
      <c r="L16" s="223"/>
      <c r="M16" s="223"/>
      <c r="N16" s="223"/>
      <c r="O16" s="223"/>
      <c r="P16" s="223"/>
      <c r="Q16" s="8"/>
    </row>
    <row r="17" spans="2:17" ht="15">
      <c r="B17" s="264" t="s">
        <v>88</v>
      </c>
      <c r="C17" s="238"/>
      <c r="D17" s="245"/>
      <c r="E17" s="236" t="s">
        <v>177</v>
      </c>
      <c r="F17" s="237" t="s">
        <v>243</v>
      </c>
      <c r="G17" s="239"/>
      <c r="H17" s="238"/>
      <c r="I17" s="238"/>
      <c r="J17" s="239"/>
      <c r="K17" s="223"/>
      <c r="L17" s="223"/>
      <c r="M17" s="223"/>
      <c r="N17" s="223"/>
      <c r="O17" s="223"/>
      <c r="P17" s="223"/>
      <c r="Q17" s="8"/>
    </row>
    <row r="18" spans="2:17" ht="15">
      <c r="B18" s="248" t="s">
        <v>238</v>
      </c>
      <c r="C18" s="249" t="s">
        <v>88</v>
      </c>
      <c r="D18" s="265"/>
      <c r="E18" s="248" t="s">
        <v>177</v>
      </c>
      <c r="F18" s="249" t="s">
        <v>244</v>
      </c>
      <c r="G18" s="247"/>
      <c r="H18" s="246"/>
      <c r="I18" s="246"/>
      <c r="J18" s="247"/>
      <c r="K18" s="223"/>
      <c r="L18" s="223"/>
      <c r="M18" s="223"/>
      <c r="N18" s="223"/>
      <c r="O18" s="223"/>
      <c r="P18" s="223"/>
      <c r="Q18" s="8"/>
    </row>
    <row r="19" spans="2:17" ht="15">
      <c r="E19" s="238"/>
      <c r="F19" s="238"/>
      <c r="G19" s="238"/>
      <c r="H19" s="262"/>
      <c r="I19" s="220"/>
      <c r="J19" s="220"/>
      <c r="K19" s="223"/>
      <c r="L19" s="223"/>
      <c r="M19" s="223"/>
      <c r="N19" s="223"/>
      <c r="O19" s="223"/>
      <c r="P19" s="223"/>
      <c r="Q19" s="8"/>
    </row>
    <row r="20" spans="2:17" ht="15">
      <c r="H20" s="228"/>
      <c r="I20" s="223"/>
      <c r="J20" s="223"/>
      <c r="K20" s="223"/>
      <c r="L20" s="223"/>
      <c r="M20" s="223"/>
      <c r="N20" s="223"/>
      <c r="O20" s="223"/>
      <c r="P20" s="223"/>
      <c r="Q20" s="8"/>
    </row>
    <row r="21" spans="2:17" ht="15">
      <c r="H21" s="228"/>
      <c r="I21" s="223"/>
      <c r="J21" s="223"/>
      <c r="K21" s="223"/>
      <c r="L21" s="223"/>
      <c r="M21" s="223"/>
      <c r="N21" s="223"/>
      <c r="O21" s="223"/>
      <c r="P21" s="223"/>
      <c r="Q21" s="8"/>
    </row>
    <row r="22" spans="2:17" ht="15">
      <c r="H22" s="228"/>
      <c r="I22" s="223"/>
      <c r="J22" s="223"/>
      <c r="K22" s="223"/>
      <c r="L22" s="223"/>
      <c r="M22" s="223"/>
      <c r="N22" s="223"/>
      <c r="O22" s="223"/>
      <c r="P22" s="223"/>
      <c r="Q22" s="8"/>
    </row>
    <row r="23" spans="2:17" ht="15">
      <c r="H23" s="228"/>
      <c r="I23" s="223"/>
      <c r="J23" s="223"/>
      <c r="K23" s="223"/>
      <c r="L23" s="223"/>
      <c r="M23" s="223"/>
      <c r="N23" s="223"/>
      <c r="O23" s="223"/>
      <c r="P23" s="223"/>
      <c r="Q23" s="8"/>
    </row>
    <row r="24" spans="2:17" ht="15">
      <c r="H24" s="228"/>
      <c r="I24" s="223"/>
      <c r="J24" s="223"/>
      <c r="K24" s="223"/>
      <c r="L24" s="223"/>
      <c r="M24" s="223"/>
      <c r="N24" s="223"/>
      <c r="O24" s="223"/>
      <c r="P24" s="223"/>
      <c r="Q24" s="8"/>
    </row>
    <row r="25" spans="2:17" ht="15">
      <c r="H25" s="228"/>
      <c r="I25" s="223"/>
      <c r="J25" s="223"/>
      <c r="K25" s="223"/>
      <c r="L25" s="223"/>
      <c r="M25" s="223"/>
      <c r="N25" s="223"/>
      <c r="O25" s="223"/>
      <c r="P25" s="223"/>
      <c r="Q25" s="8"/>
    </row>
    <row r="26" spans="2:17" ht="15">
      <c r="H26" s="228"/>
      <c r="I26" s="223"/>
      <c r="J26" s="223"/>
      <c r="K26" s="223"/>
      <c r="L26" s="223"/>
      <c r="M26" s="223"/>
      <c r="N26" s="223"/>
      <c r="O26" s="223"/>
      <c r="P26" s="223"/>
      <c r="Q26" s="8"/>
    </row>
    <row r="27" spans="2:17" ht="15">
      <c r="H27" s="228"/>
      <c r="I27" s="223"/>
      <c r="J27" s="223"/>
      <c r="K27" s="223"/>
      <c r="L27" s="223"/>
      <c r="M27" s="223"/>
      <c r="N27" s="223"/>
      <c r="O27" s="223"/>
      <c r="P27" s="223"/>
      <c r="Q27" s="8"/>
    </row>
    <row r="28" spans="2:17" ht="15">
      <c r="H28" s="228"/>
      <c r="I28" s="223"/>
      <c r="J28" s="223"/>
      <c r="K28" s="223"/>
      <c r="L28" s="223"/>
      <c r="M28" s="223"/>
      <c r="N28" s="223"/>
      <c r="O28" s="223"/>
      <c r="P28" s="223"/>
      <c r="Q28" s="8"/>
    </row>
    <row r="29" spans="2:17" ht="15">
      <c r="H29" s="222"/>
      <c r="I29" s="223"/>
      <c r="J29" s="229"/>
      <c r="K29" s="229"/>
      <c r="L29" s="229"/>
      <c r="M29" s="229"/>
      <c r="N29" s="229"/>
      <c r="O29" s="227"/>
      <c r="P29" s="223"/>
      <c r="Q29" s="8"/>
    </row>
    <row r="30" spans="2:17" ht="15">
      <c r="H30" s="228"/>
      <c r="I30" s="223"/>
      <c r="J30" s="223"/>
      <c r="K30" s="223"/>
      <c r="L30" s="223"/>
      <c r="M30" s="223"/>
      <c r="N30" s="223"/>
      <c r="O30" s="223"/>
      <c r="P30" s="223"/>
      <c r="Q30" s="8"/>
    </row>
    <row r="31" spans="2:17" ht="12.75" customHeight="1">
      <c r="H31" s="228"/>
      <c r="I31" s="223"/>
      <c r="J31" s="223"/>
      <c r="K31" s="223"/>
      <c r="L31" s="223"/>
      <c r="M31" s="223"/>
      <c r="N31" s="223"/>
      <c r="O31" s="223"/>
      <c r="P31" s="223"/>
      <c r="Q31" s="8"/>
    </row>
    <row r="32" spans="2:17" ht="15">
      <c r="H32" s="222"/>
      <c r="I32" s="223"/>
      <c r="J32" s="223"/>
      <c r="K32" s="223"/>
      <c r="L32" s="223"/>
      <c r="M32" s="223"/>
      <c r="N32" s="223"/>
      <c r="O32" s="223"/>
      <c r="P32" s="223"/>
      <c r="Q32" s="8"/>
    </row>
    <row r="33" spans="8:17" ht="15">
      <c r="H33" s="222"/>
      <c r="I33" s="223"/>
      <c r="J33" s="223"/>
      <c r="K33" s="223"/>
      <c r="L33" s="223"/>
      <c r="M33" s="223"/>
      <c r="N33" s="223"/>
      <c r="O33" s="223"/>
      <c r="P33" s="223"/>
      <c r="Q33" s="8"/>
    </row>
    <row r="34" spans="8:17" ht="15">
      <c r="H34" s="222"/>
      <c r="I34" s="223"/>
      <c r="J34" s="223"/>
      <c r="K34" s="223"/>
      <c r="L34" s="223"/>
      <c r="M34" s="223"/>
      <c r="N34" s="223"/>
      <c r="O34" s="223"/>
      <c r="P34" s="223"/>
      <c r="Q34" s="8"/>
    </row>
    <row r="35" spans="8:17" ht="15">
      <c r="H35" s="222"/>
      <c r="I35" s="223"/>
      <c r="J35" s="223"/>
      <c r="K35" s="223"/>
      <c r="L35" s="223"/>
      <c r="M35" s="223"/>
      <c r="N35" s="223"/>
      <c r="O35" s="223"/>
      <c r="P35" s="223"/>
      <c r="Q35" s="8"/>
    </row>
    <row r="36" spans="8:17" ht="15">
      <c r="H36" s="228"/>
      <c r="I36" s="223"/>
      <c r="J36" s="223"/>
      <c r="K36" s="223"/>
      <c r="L36" s="223"/>
      <c r="M36" s="223"/>
      <c r="N36" s="223"/>
      <c r="O36" s="223"/>
      <c r="P36" s="223"/>
      <c r="Q36" s="8"/>
    </row>
    <row r="37" spans="8:17" ht="15">
      <c r="H37" s="228"/>
      <c r="I37" s="223"/>
      <c r="J37" s="223"/>
      <c r="K37" s="223"/>
      <c r="L37" s="223"/>
      <c r="M37" s="223"/>
      <c r="N37" s="223"/>
      <c r="O37" s="223"/>
      <c r="P37" s="223"/>
      <c r="Q37" s="8"/>
    </row>
    <row r="38" spans="8:17" ht="15">
      <c r="H38" s="228"/>
      <c r="I38" s="223"/>
      <c r="J38" s="223"/>
      <c r="K38" s="223"/>
      <c r="L38" s="223"/>
      <c r="M38" s="223"/>
      <c r="N38" s="223"/>
      <c r="O38" s="223"/>
      <c r="P38" s="223"/>
      <c r="Q38" s="8"/>
    </row>
    <row r="39" spans="8:17" ht="15">
      <c r="H39" s="222"/>
      <c r="I39" s="223"/>
      <c r="J39" s="223"/>
      <c r="K39" s="223"/>
      <c r="L39" s="223"/>
      <c r="M39" s="223"/>
      <c r="N39" s="223"/>
      <c r="O39" s="223"/>
      <c r="P39" s="223"/>
      <c r="Q39" s="8"/>
    </row>
    <row r="40" spans="8:17" ht="15">
      <c r="H40" s="222"/>
      <c r="I40" s="223"/>
      <c r="J40" s="223"/>
      <c r="K40" s="223"/>
      <c r="L40" s="223"/>
      <c r="M40" s="223"/>
      <c r="N40" s="223"/>
      <c r="O40" s="223"/>
      <c r="P40" s="223"/>
      <c r="Q40" s="8"/>
    </row>
    <row r="41" spans="8:17" ht="15">
      <c r="H41" s="228"/>
      <c r="I41" s="223"/>
      <c r="J41" s="223"/>
      <c r="K41" s="223"/>
      <c r="L41" s="223"/>
      <c r="M41" s="223"/>
      <c r="N41" s="223"/>
      <c r="O41" s="223"/>
      <c r="P41" s="223"/>
      <c r="Q41" s="8"/>
    </row>
    <row r="42" spans="8:17" ht="15">
      <c r="H42" s="222"/>
      <c r="I42" s="223"/>
      <c r="J42" s="223"/>
      <c r="K42" s="223"/>
      <c r="L42" s="223"/>
      <c r="M42" s="223"/>
      <c r="N42" s="223"/>
      <c r="O42" s="223"/>
      <c r="P42" s="223"/>
      <c r="Q42" s="8"/>
    </row>
    <row r="43" spans="8:17">
      <c r="H43" s="230"/>
      <c r="I43" s="230"/>
      <c r="J43" s="230"/>
      <c r="K43" s="230"/>
      <c r="L43" s="230"/>
      <c r="M43" s="230"/>
      <c r="N43" s="230"/>
      <c r="O43" s="230"/>
      <c r="P43" s="230"/>
      <c r="Q43" s="8"/>
    </row>
    <row r="44" spans="8:17">
      <c r="H44" s="230"/>
      <c r="I44" s="230"/>
      <c r="J44" s="230"/>
      <c r="K44" s="230"/>
      <c r="L44" s="230"/>
      <c r="M44" s="230"/>
      <c r="N44" s="230"/>
      <c r="O44" s="230"/>
      <c r="P44" s="230"/>
      <c r="Q44" s="8"/>
    </row>
  </sheetData>
  <pageMargins left="0.7" right="0.7" top="0.75" bottom="0.75" header="0.3" footer="0.3"/>
  <pageSetup orientation="portrait" r:id="rId1"/>
  <ignoredErrors>
    <ignoredError sqref="E5:E6 B3:B4 H9:H15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3:H13"/>
  <sheetViews>
    <sheetView workbookViewId="0">
      <selection activeCell="E4" sqref="E4"/>
    </sheetView>
  </sheetViews>
  <sheetFormatPr defaultRowHeight="12.75"/>
  <cols>
    <col min="2" max="2" width="14.5" customWidth="1"/>
    <col min="3" max="3" width="16.6640625" customWidth="1"/>
    <col min="4" max="4" width="15.1640625" bestFit="1" customWidth="1"/>
    <col min="5" max="5" width="17" bestFit="1" customWidth="1"/>
    <col min="8" max="8" width="24.33203125" bestFit="1" customWidth="1"/>
  </cols>
  <sheetData>
    <row r="3" spans="1:8">
      <c r="B3" s="598" t="s">
        <v>14</v>
      </c>
      <c r="C3" s="598" t="s">
        <v>571</v>
      </c>
      <c r="D3" s="598" t="s">
        <v>533</v>
      </c>
      <c r="E3" s="598" t="s">
        <v>534</v>
      </c>
      <c r="F3" s="598" t="s">
        <v>535</v>
      </c>
      <c r="G3" s="598" t="s">
        <v>536</v>
      </c>
      <c r="H3" s="598" t="s">
        <v>40</v>
      </c>
    </row>
    <row r="4" spans="1:8">
      <c r="A4" s="32" t="s">
        <v>546</v>
      </c>
      <c r="B4" s="599" t="s">
        <v>537</v>
      </c>
      <c r="C4" s="599" t="s">
        <v>572</v>
      </c>
      <c r="D4" s="599" t="s">
        <v>559</v>
      </c>
      <c r="E4" s="599" t="s">
        <v>558</v>
      </c>
      <c r="F4" s="599" t="s">
        <v>569</v>
      </c>
      <c r="G4" s="599" t="s">
        <v>567</v>
      </c>
      <c r="H4" s="599" t="s">
        <v>573</v>
      </c>
    </row>
    <row r="5" spans="1:8">
      <c r="A5" s="32" t="s">
        <v>547</v>
      </c>
      <c r="B5" s="599" t="s">
        <v>538</v>
      </c>
      <c r="C5" s="599" t="s">
        <v>45</v>
      </c>
      <c r="D5" s="599" t="s">
        <v>560</v>
      </c>
      <c r="E5" s="599" t="s">
        <v>558</v>
      </c>
      <c r="F5" s="599" t="s">
        <v>569</v>
      </c>
      <c r="G5" s="599" t="s">
        <v>565</v>
      </c>
      <c r="H5" s="599" t="s">
        <v>573</v>
      </c>
    </row>
    <row r="6" spans="1:8">
      <c r="A6" s="32" t="s">
        <v>548</v>
      </c>
      <c r="B6" s="599" t="s">
        <v>539</v>
      </c>
      <c r="C6" s="599" t="s">
        <v>572</v>
      </c>
      <c r="D6" s="599" t="s">
        <v>561</v>
      </c>
      <c r="E6" s="599" t="s">
        <v>557</v>
      </c>
      <c r="F6" s="599" t="s">
        <v>568</v>
      </c>
      <c r="G6" s="38"/>
      <c r="H6" s="599" t="s">
        <v>574</v>
      </c>
    </row>
    <row r="7" spans="1:8">
      <c r="A7" s="32" t="s">
        <v>549</v>
      </c>
      <c r="B7" s="599" t="s">
        <v>540</v>
      </c>
      <c r="C7" s="599" t="s">
        <v>572</v>
      </c>
      <c r="D7" s="599" t="s">
        <v>562</v>
      </c>
      <c r="E7" s="599" t="s">
        <v>545</v>
      </c>
      <c r="F7" s="599" t="s">
        <v>570</v>
      </c>
      <c r="G7" s="599" t="s">
        <v>566</v>
      </c>
      <c r="H7" s="599" t="s">
        <v>575</v>
      </c>
    </row>
    <row r="8" spans="1:8">
      <c r="A8" s="32" t="s">
        <v>550</v>
      </c>
      <c r="B8" s="599" t="s">
        <v>589</v>
      </c>
      <c r="C8" s="599" t="s">
        <v>45</v>
      </c>
      <c r="D8" s="599" t="s">
        <v>562</v>
      </c>
      <c r="E8" s="599" t="s">
        <v>545</v>
      </c>
      <c r="F8" s="599" t="s">
        <v>570</v>
      </c>
      <c r="G8" s="599" t="s">
        <v>565</v>
      </c>
      <c r="H8" s="599" t="s">
        <v>575</v>
      </c>
    </row>
    <row r="9" spans="1:8">
      <c r="A9" s="32" t="s">
        <v>551</v>
      </c>
      <c r="B9" s="599" t="s">
        <v>541</v>
      </c>
      <c r="C9" s="599" t="s">
        <v>572</v>
      </c>
      <c r="D9" s="599" t="s">
        <v>562</v>
      </c>
      <c r="E9" s="599" t="s">
        <v>545</v>
      </c>
      <c r="F9" s="599" t="s">
        <v>570</v>
      </c>
      <c r="G9" s="599" t="s">
        <v>567</v>
      </c>
      <c r="H9" s="599" t="s">
        <v>575</v>
      </c>
    </row>
    <row r="10" spans="1:8">
      <c r="A10" s="32" t="s">
        <v>552</v>
      </c>
      <c r="B10" s="599" t="s">
        <v>542</v>
      </c>
      <c r="C10" s="599" t="s">
        <v>45</v>
      </c>
      <c r="D10" s="599" t="s">
        <v>563</v>
      </c>
      <c r="E10" s="599" t="s">
        <v>545</v>
      </c>
      <c r="F10" s="599" t="s">
        <v>570</v>
      </c>
      <c r="G10" s="599" t="s">
        <v>567</v>
      </c>
      <c r="H10" s="599" t="s">
        <v>575</v>
      </c>
    </row>
    <row r="11" spans="1:8">
      <c r="A11" s="32" t="s">
        <v>553</v>
      </c>
      <c r="B11" s="599" t="s">
        <v>543</v>
      </c>
      <c r="C11" s="599" t="s">
        <v>572</v>
      </c>
      <c r="D11" s="599" t="s">
        <v>564</v>
      </c>
      <c r="E11" s="599" t="s">
        <v>556</v>
      </c>
      <c r="F11" s="599" t="s">
        <v>570</v>
      </c>
      <c r="G11" s="599" t="s">
        <v>567</v>
      </c>
      <c r="H11" s="599" t="s">
        <v>575</v>
      </c>
    </row>
    <row r="12" spans="1:8">
      <c r="A12" s="32" t="s">
        <v>554</v>
      </c>
      <c r="B12" s="599" t="s">
        <v>590</v>
      </c>
      <c r="C12" s="599" t="s">
        <v>45</v>
      </c>
      <c r="D12" s="599" t="s">
        <v>563</v>
      </c>
      <c r="E12" s="599" t="s">
        <v>545</v>
      </c>
      <c r="F12" s="599" t="s">
        <v>570</v>
      </c>
      <c r="G12" s="599" t="s">
        <v>565</v>
      </c>
      <c r="H12" s="599" t="s">
        <v>575</v>
      </c>
    </row>
    <row r="13" spans="1:8">
      <c r="A13" s="32" t="s">
        <v>555</v>
      </c>
      <c r="B13" s="599" t="s">
        <v>544</v>
      </c>
      <c r="C13" s="599" t="s">
        <v>572</v>
      </c>
      <c r="D13" s="599" t="s">
        <v>564</v>
      </c>
      <c r="E13" s="599" t="s">
        <v>556</v>
      </c>
      <c r="F13" s="599" t="s">
        <v>570</v>
      </c>
      <c r="G13" s="599" t="s">
        <v>565</v>
      </c>
      <c r="H13" s="599" t="s">
        <v>575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Q56"/>
  <sheetViews>
    <sheetView tabSelected="1" topLeftCell="BW5" zoomScale="70" zoomScaleNormal="70" workbookViewId="0">
      <selection activeCell="CG2" sqref="CG2:CQ56"/>
    </sheetView>
  </sheetViews>
  <sheetFormatPr defaultRowHeight="15.75"/>
  <cols>
    <col min="1" max="1" width="40" style="102" customWidth="1"/>
    <col min="2" max="3" width="13.83203125" style="102" customWidth="1"/>
    <col min="4" max="4" width="3.83203125" style="102" customWidth="1"/>
    <col min="5" max="5" width="10.83203125" style="102" customWidth="1"/>
    <col min="6" max="6" width="13.83203125" style="102" customWidth="1"/>
    <col min="7" max="7" width="14.5" style="102" customWidth="1"/>
    <col min="8" max="9" width="13.83203125" style="102" customWidth="1"/>
    <col min="10" max="10" width="8.83203125" style="102" customWidth="1"/>
    <col min="11" max="11" width="5.83203125" style="102" customWidth="1"/>
    <col min="12" max="12" width="9.33203125" style="102"/>
    <col min="13" max="13" width="40" style="102" customWidth="1"/>
    <col min="14" max="15" width="13.83203125" style="102" customWidth="1"/>
    <col min="16" max="16" width="3.83203125" style="102" customWidth="1"/>
    <col min="17" max="17" width="10.83203125" style="102" customWidth="1"/>
    <col min="18" max="18" width="13.83203125" style="102" customWidth="1"/>
    <col min="19" max="19" width="14.5" style="102" customWidth="1"/>
    <col min="20" max="21" width="13.83203125" style="102" customWidth="1"/>
    <col min="22" max="22" width="8.83203125" style="102" customWidth="1"/>
    <col min="23" max="23" width="5.83203125" style="102" customWidth="1"/>
    <col min="24" max="24" width="9.33203125" style="102"/>
    <col min="25" max="25" width="40" style="102" customWidth="1"/>
    <col min="26" max="27" width="13.83203125" style="102" customWidth="1"/>
    <col min="28" max="28" width="3.83203125" style="102" customWidth="1"/>
    <col min="29" max="29" width="10.83203125" style="102" customWidth="1"/>
    <col min="30" max="30" width="13.83203125" style="102" customWidth="1"/>
    <col min="31" max="31" width="14.5" style="102" customWidth="1"/>
    <col min="32" max="33" width="13.83203125" style="102" customWidth="1"/>
    <col min="34" max="34" width="8.83203125" style="102" customWidth="1"/>
    <col min="35" max="35" width="5.83203125" style="102" customWidth="1"/>
    <col min="36" max="36" width="9.33203125" style="102"/>
    <col min="37" max="37" width="40" style="102" customWidth="1"/>
    <col min="38" max="39" width="13.83203125" style="102" customWidth="1"/>
    <col min="40" max="40" width="3.83203125" style="102" customWidth="1"/>
    <col min="41" max="41" width="10.83203125" style="102" customWidth="1"/>
    <col min="42" max="42" width="13.83203125" style="102" customWidth="1"/>
    <col min="43" max="43" width="14.5" style="102" customWidth="1"/>
    <col min="44" max="45" width="13.83203125" style="102" customWidth="1"/>
    <col min="46" max="46" width="8.83203125" style="102" customWidth="1"/>
    <col min="47" max="47" width="5.83203125" style="102" customWidth="1"/>
    <col min="48" max="48" width="9.33203125" style="102"/>
    <col min="49" max="49" width="40" style="102" customWidth="1"/>
    <col min="50" max="51" width="13.83203125" style="102" customWidth="1"/>
    <col min="52" max="52" width="3.83203125" style="102" customWidth="1"/>
    <col min="53" max="53" width="10.83203125" style="102" customWidth="1"/>
    <col min="54" max="54" width="13.83203125" style="102" customWidth="1"/>
    <col min="55" max="55" width="14.5" style="102" customWidth="1"/>
    <col min="56" max="57" width="13.83203125" style="102" customWidth="1"/>
    <col min="58" max="58" width="8.83203125" style="102" customWidth="1"/>
    <col min="59" max="59" width="5.83203125" style="102" customWidth="1"/>
    <col min="60" max="60" width="9.33203125" style="102"/>
    <col min="61" max="61" width="40" style="102" customWidth="1"/>
    <col min="62" max="63" width="13.83203125" style="102" customWidth="1"/>
    <col min="64" max="64" width="3.83203125" style="102" customWidth="1"/>
    <col min="65" max="65" width="10.83203125" style="102" customWidth="1"/>
    <col min="66" max="66" width="13.83203125" style="102" customWidth="1"/>
    <col min="67" max="67" width="14.5" style="102" customWidth="1"/>
    <col min="68" max="69" width="13.83203125" style="102" customWidth="1"/>
    <col min="70" max="70" width="8.83203125" style="102" customWidth="1"/>
    <col min="71" max="71" width="5.83203125" style="102" customWidth="1"/>
    <col min="72" max="72" width="9.33203125" style="102"/>
    <col min="73" max="73" width="40" style="102" customWidth="1"/>
    <col min="74" max="75" width="13.83203125" style="102" customWidth="1"/>
    <col min="76" max="76" width="3.83203125" style="102" customWidth="1"/>
    <col min="77" max="77" width="10.83203125" style="102" customWidth="1"/>
    <col min="78" max="78" width="13.83203125" style="102" customWidth="1"/>
    <col min="79" max="79" width="14.5" style="102" customWidth="1"/>
    <col min="80" max="81" width="13.83203125" style="102" customWidth="1"/>
    <col min="82" max="82" width="8.83203125" style="102" customWidth="1"/>
    <col min="83" max="83" width="5.83203125" style="102" customWidth="1"/>
    <col min="84" max="84" width="9.33203125" style="102"/>
    <col min="85" max="85" width="40" style="102" customWidth="1"/>
    <col min="86" max="87" width="13.83203125" style="102" customWidth="1"/>
    <col min="88" max="88" width="3.83203125" style="102" customWidth="1"/>
    <col min="89" max="89" width="10.83203125" style="102" customWidth="1"/>
    <col min="90" max="90" width="13.83203125" style="102" customWidth="1"/>
    <col min="91" max="91" width="14.5" style="102" customWidth="1"/>
    <col min="92" max="93" width="13.83203125" style="102" customWidth="1"/>
    <col min="94" max="94" width="8.83203125" style="102" customWidth="1"/>
    <col min="95" max="95" width="5.83203125" style="102" customWidth="1"/>
    <col min="96" max="16384" width="9.33203125" style="102"/>
  </cols>
  <sheetData>
    <row r="2" spans="1:95" ht="18.75">
      <c r="A2" s="642" t="s">
        <v>153</v>
      </c>
      <c r="B2" s="643"/>
      <c r="C2" s="643"/>
      <c r="D2" s="643"/>
      <c r="E2" s="643"/>
      <c r="F2" s="643"/>
      <c r="G2" s="643"/>
      <c r="H2" s="643"/>
      <c r="I2" s="643"/>
      <c r="J2" s="643"/>
      <c r="K2" s="644"/>
      <c r="M2" s="642" t="s">
        <v>153</v>
      </c>
      <c r="N2" s="643"/>
      <c r="O2" s="643"/>
      <c r="P2" s="643"/>
      <c r="Q2" s="643"/>
      <c r="R2" s="643"/>
      <c r="S2" s="643"/>
      <c r="T2" s="643"/>
      <c r="U2" s="643"/>
      <c r="V2" s="643"/>
      <c r="W2" s="644"/>
      <c r="Y2" s="642" t="s">
        <v>153</v>
      </c>
      <c r="Z2" s="643"/>
      <c r="AA2" s="643"/>
      <c r="AB2" s="643"/>
      <c r="AC2" s="643"/>
      <c r="AD2" s="643"/>
      <c r="AE2" s="643"/>
      <c r="AF2" s="643"/>
      <c r="AG2" s="643"/>
      <c r="AH2" s="643"/>
      <c r="AI2" s="644"/>
      <c r="AK2" s="642" t="s">
        <v>153</v>
      </c>
      <c r="AL2" s="643"/>
      <c r="AM2" s="643"/>
      <c r="AN2" s="643"/>
      <c r="AO2" s="643"/>
      <c r="AP2" s="643"/>
      <c r="AQ2" s="643"/>
      <c r="AR2" s="643"/>
      <c r="AS2" s="643"/>
      <c r="AT2" s="643"/>
      <c r="AU2" s="644"/>
      <c r="AW2" s="642" t="s">
        <v>153</v>
      </c>
      <c r="AX2" s="643"/>
      <c r="AY2" s="643"/>
      <c r="AZ2" s="643"/>
      <c r="BA2" s="643"/>
      <c r="BB2" s="643"/>
      <c r="BC2" s="643"/>
      <c r="BD2" s="643"/>
      <c r="BE2" s="643"/>
      <c r="BF2" s="643"/>
      <c r="BG2" s="644"/>
      <c r="BI2" s="642" t="s">
        <v>153</v>
      </c>
      <c r="BJ2" s="643"/>
      <c r="BK2" s="643"/>
      <c r="BL2" s="643"/>
      <c r="BM2" s="643"/>
      <c r="BN2" s="643"/>
      <c r="BO2" s="643"/>
      <c r="BP2" s="643"/>
      <c r="BQ2" s="643"/>
      <c r="BR2" s="643"/>
      <c r="BS2" s="644"/>
      <c r="BU2" s="642" t="s">
        <v>153</v>
      </c>
      <c r="BV2" s="643"/>
      <c r="BW2" s="643"/>
      <c r="BX2" s="643"/>
      <c r="BY2" s="643"/>
      <c r="BZ2" s="643"/>
      <c r="CA2" s="643"/>
      <c r="CB2" s="643"/>
      <c r="CC2" s="643"/>
      <c r="CD2" s="643"/>
      <c r="CE2" s="644"/>
      <c r="CG2" s="642" t="s">
        <v>153</v>
      </c>
      <c r="CH2" s="643"/>
      <c r="CI2" s="643"/>
      <c r="CJ2" s="643"/>
      <c r="CK2" s="643"/>
      <c r="CL2" s="643"/>
      <c r="CM2" s="643"/>
      <c r="CN2" s="643"/>
      <c r="CO2" s="643"/>
      <c r="CP2" s="643"/>
      <c r="CQ2" s="644"/>
    </row>
    <row r="3" spans="1:95">
      <c r="A3" s="68" t="s">
        <v>127</v>
      </c>
      <c r="B3" s="453"/>
      <c r="C3" s="69"/>
      <c r="D3" s="69"/>
      <c r="E3" s="69"/>
      <c r="F3" s="69"/>
      <c r="G3" s="69"/>
      <c r="H3" s="69"/>
      <c r="I3" s="69"/>
      <c r="J3" s="69"/>
      <c r="K3" s="70"/>
      <c r="M3" s="68" t="s">
        <v>127</v>
      </c>
      <c r="N3" s="453" t="s">
        <v>499</v>
      </c>
      <c r="O3" s="69"/>
      <c r="P3" s="69"/>
      <c r="Q3" s="69"/>
      <c r="R3" s="69"/>
      <c r="S3" s="69"/>
      <c r="T3" s="69"/>
      <c r="U3" s="69"/>
      <c r="V3" s="69"/>
      <c r="W3" s="70"/>
      <c r="Y3" s="68" t="s">
        <v>127</v>
      </c>
      <c r="Z3" s="453" t="s">
        <v>485</v>
      </c>
      <c r="AA3" s="69"/>
      <c r="AB3" s="69"/>
      <c r="AC3" s="69"/>
      <c r="AD3" s="69"/>
      <c r="AE3" s="69"/>
      <c r="AF3" s="69"/>
      <c r="AG3" s="69"/>
      <c r="AH3" s="69"/>
      <c r="AI3" s="70"/>
      <c r="AK3" s="68" t="s">
        <v>127</v>
      </c>
      <c r="AL3" s="453" t="s">
        <v>500</v>
      </c>
      <c r="AM3" s="69"/>
      <c r="AN3" s="69"/>
      <c r="AO3" s="69"/>
      <c r="AP3" s="69"/>
      <c r="AQ3" s="69"/>
      <c r="AR3" s="69"/>
      <c r="AS3" s="69"/>
      <c r="AT3" s="69"/>
      <c r="AU3" s="70"/>
      <c r="AW3" s="68" t="s">
        <v>127</v>
      </c>
      <c r="AX3" s="453" t="s">
        <v>486</v>
      </c>
      <c r="AY3" s="69"/>
      <c r="AZ3" s="69"/>
      <c r="BA3" s="69"/>
      <c r="BB3" s="69"/>
      <c r="BC3" s="69"/>
      <c r="BD3" s="69"/>
      <c r="BE3" s="69"/>
      <c r="BF3" s="69"/>
      <c r="BG3" s="70"/>
      <c r="BI3" s="68" t="s">
        <v>127</v>
      </c>
      <c r="BJ3" s="453" t="s">
        <v>501</v>
      </c>
      <c r="BK3" s="69"/>
      <c r="BL3" s="69"/>
      <c r="BM3" s="69"/>
      <c r="BN3" s="69"/>
      <c r="BO3" s="69"/>
      <c r="BP3" s="69"/>
      <c r="BQ3" s="69"/>
      <c r="BR3" s="69"/>
      <c r="BS3" s="70"/>
      <c r="BU3" s="68" t="s">
        <v>127</v>
      </c>
      <c r="BV3" s="453" t="s">
        <v>189</v>
      </c>
      <c r="BW3" s="69"/>
      <c r="BX3" s="69"/>
      <c r="BY3" s="69"/>
      <c r="BZ3" s="69"/>
      <c r="CA3" s="69"/>
      <c r="CB3" s="69"/>
      <c r="CC3" s="69"/>
      <c r="CD3" s="69"/>
      <c r="CE3" s="70"/>
      <c r="CG3" s="68" t="s">
        <v>127</v>
      </c>
      <c r="CH3" s="453" t="s">
        <v>502</v>
      </c>
      <c r="CI3" s="69"/>
      <c r="CJ3" s="69"/>
      <c r="CK3" s="69"/>
      <c r="CL3" s="69"/>
      <c r="CM3" s="69"/>
      <c r="CN3" s="69"/>
      <c r="CO3" s="69"/>
      <c r="CP3" s="69"/>
      <c r="CQ3" s="70"/>
    </row>
    <row r="4" spans="1:95">
      <c r="A4" s="71" t="s">
        <v>94</v>
      </c>
      <c r="B4" s="72"/>
      <c r="C4" s="72"/>
      <c r="D4" s="72"/>
      <c r="E4" s="72"/>
      <c r="F4" s="72"/>
      <c r="G4" s="72"/>
      <c r="H4" s="72"/>
      <c r="I4" s="72"/>
      <c r="J4" s="72"/>
      <c r="K4" s="103"/>
      <c r="M4" s="71" t="s">
        <v>94</v>
      </c>
      <c r="N4" s="72"/>
      <c r="O4" s="72"/>
      <c r="P4" s="72"/>
      <c r="Q4" s="72"/>
      <c r="R4" s="72"/>
      <c r="S4" s="72"/>
      <c r="T4" s="72"/>
      <c r="U4" s="72"/>
      <c r="V4" s="72"/>
      <c r="W4" s="103"/>
      <c r="Y4" s="71" t="s">
        <v>94</v>
      </c>
      <c r="Z4" s="72" t="s">
        <v>531</v>
      </c>
      <c r="AA4" s="72"/>
      <c r="AB4" s="72"/>
      <c r="AC4" s="72"/>
      <c r="AD4" s="72"/>
      <c r="AE4" s="72"/>
      <c r="AF4" s="72"/>
      <c r="AG4" s="72"/>
      <c r="AH4" s="72"/>
      <c r="AI4" s="103"/>
      <c r="AK4" s="71" t="s">
        <v>94</v>
      </c>
      <c r="AL4" s="72" t="s">
        <v>531</v>
      </c>
      <c r="AM4" s="72"/>
      <c r="AN4" s="72"/>
      <c r="AO4" s="72"/>
      <c r="AP4" s="72"/>
      <c r="AQ4" s="72"/>
      <c r="AR4" s="72"/>
      <c r="AS4" s="72"/>
      <c r="AT4" s="72"/>
      <c r="AU4" s="103"/>
      <c r="AW4" s="71" t="s">
        <v>94</v>
      </c>
      <c r="AX4" s="72" t="s">
        <v>532</v>
      </c>
      <c r="AY4" s="72"/>
      <c r="AZ4" s="72"/>
      <c r="BA4" s="72"/>
      <c r="BB4" s="72"/>
      <c r="BC4" s="72"/>
      <c r="BD4" s="72"/>
      <c r="BE4" s="72"/>
      <c r="BF4" s="72"/>
      <c r="BG4" s="103"/>
      <c r="BI4" s="71" t="s">
        <v>94</v>
      </c>
      <c r="BJ4" s="72" t="s">
        <v>532</v>
      </c>
      <c r="BK4" s="72"/>
      <c r="BL4" s="72"/>
      <c r="BM4" s="72"/>
      <c r="BN4" s="72"/>
      <c r="BO4" s="72"/>
      <c r="BP4" s="72"/>
      <c r="BQ4" s="72"/>
      <c r="BR4" s="72"/>
      <c r="BS4" s="103"/>
      <c r="BU4" s="71" t="s">
        <v>94</v>
      </c>
      <c r="BV4" s="72" t="s">
        <v>517</v>
      </c>
      <c r="BW4" s="72"/>
      <c r="BX4" s="72"/>
      <c r="BY4" s="72"/>
      <c r="BZ4" s="72"/>
      <c r="CA4" s="72"/>
      <c r="CB4" s="72"/>
      <c r="CC4" s="72"/>
      <c r="CD4" s="72"/>
      <c r="CE4" s="103"/>
      <c r="CG4" s="71" t="s">
        <v>94</v>
      </c>
      <c r="CH4" s="72" t="s">
        <v>517</v>
      </c>
      <c r="CI4" s="72"/>
      <c r="CJ4" s="72"/>
      <c r="CK4" s="72"/>
      <c r="CL4" s="72"/>
      <c r="CM4" s="72"/>
      <c r="CN4" s="72"/>
      <c r="CO4" s="72"/>
      <c r="CP4" s="72"/>
      <c r="CQ4" s="103"/>
    </row>
    <row r="5" spans="1:95">
      <c r="A5" s="71" t="s">
        <v>152</v>
      </c>
      <c r="B5" s="73"/>
      <c r="C5" s="73"/>
      <c r="D5" s="73"/>
      <c r="E5" s="73"/>
      <c r="F5" s="73"/>
      <c r="G5" s="73"/>
      <c r="H5" s="73"/>
      <c r="I5" s="73"/>
      <c r="J5" s="104"/>
      <c r="K5" s="103"/>
      <c r="M5" s="71" t="s">
        <v>152</v>
      </c>
      <c r="N5" s="73"/>
      <c r="O5" s="73"/>
      <c r="P5" s="73"/>
      <c r="Q5" s="73"/>
      <c r="R5" s="73"/>
      <c r="S5" s="73"/>
      <c r="T5" s="73"/>
      <c r="U5" s="73"/>
      <c r="V5" s="104"/>
      <c r="W5" s="103"/>
      <c r="Y5" s="71" t="s">
        <v>152</v>
      </c>
      <c r="Z5" s="73" t="s">
        <v>580</v>
      </c>
      <c r="AA5" s="73"/>
      <c r="AB5" s="73"/>
      <c r="AC5" s="73"/>
      <c r="AD5" s="73"/>
      <c r="AE5" s="73"/>
      <c r="AF5" s="73"/>
      <c r="AG5" s="73"/>
      <c r="AH5" s="104"/>
      <c r="AI5" s="103"/>
      <c r="AK5" s="71" t="s">
        <v>152</v>
      </c>
      <c r="AL5" s="73" t="s">
        <v>580</v>
      </c>
      <c r="AM5" s="73"/>
      <c r="AN5" s="73"/>
      <c r="AO5" s="73"/>
      <c r="AP5" s="73"/>
      <c r="AQ5" s="73"/>
      <c r="AR5" s="73"/>
      <c r="AS5" s="73"/>
      <c r="AT5" s="104"/>
      <c r="AU5" s="103"/>
      <c r="AW5" s="71" t="s">
        <v>152</v>
      </c>
      <c r="AX5" s="73" t="s">
        <v>581</v>
      </c>
      <c r="AY5" s="73"/>
      <c r="AZ5" s="73"/>
      <c r="BA5" s="73"/>
      <c r="BB5" s="73"/>
      <c r="BC5" s="73"/>
      <c r="BD5" s="73"/>
      <c r="BE5" s="73"/>
      <c r="BF5" s="104"/>
      <c r="BG5" s="103"/>
      <c r="BI5" s="71" t="s">
        <v>152</v>
      </c>
      <c r="BJ5" s="73" t="s">
        <v>581</v>
      </c>
      <c r="BK5" s="73"/>
      <c r="BL5" s="73"/>
      <c r="BM5" s="73"/>
      <c r="BN5" s="73"/>
      <c r="BO5" s="73"/>
      <c r="BP5" s="73"/>
      <c r="BQ5" s="73"/>
      <c r="BR5" s="104"/>
      <c r="BS5" s="103"/>
      <c r="BU5" s="71" t="s">
        <v>152</v>
      </c>
      <c r="BV5" s="73" t="s">
        <v>582</v>
      </c>
      <c r="BW5" s="73"/>
      <c r="BX5" s="73"/>
      <c r="BY5" s="73"/>
      <c r="BZ5" s="73"/>
      <c r="CA5" s="73"/>
      <c r="CB5" s="73"/>
      <c r="CC5" s="73"/>
      <c r="CD5" s="104"/>
      <c r="CE5" s="103"/>
      <c r="CG5" s="71" t="s">
        <v>152</v>
      </c>
      <c r="CH5" s="73" t="s">
        <v>582</v>
      </c>
      <c r="CI5" s="73"/>
      <c r="CJ5" s="73"/>
      <c r="CK5" s="73"/>
      <c r="CL5" s="73"/>
      <c r="CM5" s="73"/>
      <c r="CN5" s="73"/>
      <c r="CO5" s="73"/>
      <c r="CP5" s="104"/>
      <c r="CQ5" s="103"/>
    </row>
    <row r="6" spans="1:95">
      <c r="A6" s="71" t="s">
        <v>95</v>
      </c>
      <c r="B6" s="73"/>
      <c r="C6" s="73"/>
      <c r="D6" s="73"/>
      <c r="E6" s="73"/>
      <c r="F6" s="73"/>
      <c r="G6" s="73"/>
      <c r="H6" s="73"/>
      <c r="I6" s="73"/>
      <c r="J6" s="104"/>
      <c r="K6" s="103"/>
      <c r="M6" s="71" t="s">
        <v>95</v>
      </c>
      <c r="N6" s="73"/>
      <c r="O6" s="73"/>
      <c r="P6" s="73"/>
      <c r="Q6" s="73"/>
      <c r="R6" s="73"/>
      <c r="S6" s="73"/>
      <c r="T6" s="73"/>
      <c r="U6" s="73"/>
      <c r="V6" s="104"/>
      <c r="W6" s="103"/>
      <c r="Y6" s="71" t="s">
        <v>95</v>
      </c>
      <c r="Z6" s="73" t="s">
        <v>496</v>
      </c>
      <c r="AA6" s="73"/>
      <c r="AB6" s="73"/>
      <c r="AC6" s="73"/>
      <c r="AD6" s="73"/>
      <c r="AE6" s="73"/>
      <c r="AF6" s="73"/>
      <c r="AG6" s="73"/>
      <c r="AH6" s="104"/>
      <c r="AI6" s="103"/>
      <c r="AK6" s="71" t="s">
        <v>95</v>
      </c>
      <c r="AL6" s="73" t="s">
        <v>516</v>
      </c>
      <c r="AM6" s="73"/>
      <c r="AN6" s="73"/>
      <c r="AO6" s="73"/>
      <c r="AP6" s="73"/>
      <c r="AQ6" s="73"/>
      <c r="AR6" s="73"/>
      <c r="AS6" s="73"/>
      <c r="AT6" s="104"/>
      <c r="AU6" s="103"/>
      <c r="AW6" s="71" t="s">
        <v>95</v>
      </c>
      <c r="AX6" s="73" t="s">
        <v>496</v>
      </c>
      <c r="AY6" s="73"/>
      <c r="AZ6" s="73"/>
      <c r="BA6" s="73"/>
      <c r="BB6" s="73"/>
      <c r="BC6" s="73"/>
      <c r="BD6" s="73"/>
      <c r="BE6" s="73"/>
      <c r="BF6" s="104"/>
      <c r="BG6" s="103"/>
      <c r="BI6" s="71" t="s">
        <v>95</v>
      </c>
      <c r="BJ6" s="73" t="s">
        <v>516</v>
      </c>
      <c r="BK6" s="73"/>
      <c r="BL6" s="73"/>
      <c r="BM6" s="73"/>
      <c r="BN6" s="73"/>
      <c r="BO6" s="73"/>
      <c r="BP6" s="73"/>
      <c r="BQ6" s="73"/>
      <c r="BR6" s="104"/>
      <c r="BS6" s="103"/>
      <c r="BU6" s="71" t="s">
        <v>95</v>
      </c>
      <c r="BV6" s="73" t="s">
        <v>496</v>
      </c>
      <c r="BW6" s="73"/>
      <c r="BX6" s="73"/>
      <c r="BY6" s="73"/>
      <c r="BZ6" s="73"/>
      <c r="CA6" s="73"/>
      <c r="CB6" s="73"/>
      <c r="CC6" s="73"/>
      <c r="CD6" s="104"/>
      <c r="CE6" s="103"/>
      <c r="CG6" s="71" t="s">
        <v>95</v>
      </c>
      <c r="CH6" s="73" t="s">
        <v>516</v>
      </c>
      <c r="CI6" s="73"/>
      <c r="CJ6" s="73"/>
      <c r="CK6" s="73"/>
      <c r="CL6" s="73"/>
      <c r="CM6" s="73"/>
      <c r="CN6" s="73"/>
      <c r="CO6" s="73"/>
      <c r="CP6" s="104"/>
      <c r="CQ6" s="103"/>
    </row>
    <row r="7" spans="1:95">
      <c r="A7" s="74"/>
      <c r="B7" s="75"/>
      <c r="C7" s="75"/>
      <c r="D7" s="75"/>
      <c r="E7" s="75"/>
      <c r="F7" s="75"/>
      <c r="G7" s="75"/>
      <c r="H7" s="75"/>
      <c r="I7" s="75"/>
      <c r="J7" s="105"/>
      <c r="K7" s="103"/>
      <c r="M7" s="74"/>
      <c r="N7" s="75"/>
      <c r="O7" s="75"/>
      <c r="P7" s="75"/>
      <c r="Q7" s="75"/>
      <c r="R7" s="75"/>
      <c r="S7" s="75"/>
      <c r="T7" s="75"/>
      <c r="U7" s="75"/>
      <c r="V7" s="105"/>
      <c r="W7" s="103"/>
      <c r="Y7" s="74"/>
      <c r="Z7" s="75"/>
      <c r="AA7" s="75"/>
      <c r="AB7" s="75"/>
      <c r="AC7" s="75"/>
      <c r="AD7" s="75"/>
      <c r="AE7" s="75"/>
      <c r="AF7" s="75"/>
      <c r="AG7" s="75"/>
      <c r="AH7" s="105"/>
      <c r="AI7" s="103"/>
      <c r="AK7" s="74"/>
      <c r="AL7" s="75"/>
      <c r="AM7" s="75"/>
      <c r="AN7" s="75"/>
      <c r="AO7" s="75"/>
      <c r="AP7" s="75"/>
      <c r="AQ7" s="75"/>
      <c r="AR7" s="75"/>
      <c r="AS7" s="75"/>
      <c r="AT7" s="105"/>
      <c r="AU7" s="103"/>
      <c r="AW7" s="74"/>
      <c r="AX7" s="75"/>
      <c r="AY7" s="75"/>
      <c r="AZ7" s="75"/>
      <c r="BA7" s="75"/>
      <c r="BB7" s="75"/>
      <c r="BC7" s="75"/>
      <c r="BD7" s="75"/>
      <c r="BE7" s="75"/>
      <c r="BF7" s="105"/>
      <c r="BG7" s="103"/>
      <c r="BI7" s="74"/>
      <c r="BJ7" s="75"/>
      <c r="BK7" s="75"/>
      <c r="BL7" s="75"/>
      <c r="BM7" s="75"/>
      <c r="BN7" s="75"/>
      <c r="BO7" s="75"/>
      <c r="BP7" s="75"/>
      <c r="BQ7" s="75"/>
      <c r="BR7" s="105"/>
      <c r="BS7" s="103"/>
      <c r="BU7" s="74"/>
      <c r="BV7" s="75"/>
      <c r="BW7" s="75"/>
      <c r="BX7" s="75"/>
      <c r="BY7" s="75"/>
      <c r="BZ7" s="75"/>
      <c r="CA7" s="75"/>
      <c r="CB7" s="75"/>
      <c r="CC7" s="75"/>
      <c r="CD7" s="105"/>
      <c r="CE7" s="103"/>
      <c r="CG7" s="74"/>
      <c r="CH7" s="75"/>
      <c r="CI7" s="75"/>
      <c r="CJ7" s="75"/>
      <c r="CK7" s="75"/>
      <c r="CL7" s="75"/>
      <c r="CM7" s="75"/>
      <c r="CN7" s="75"/>
      <c r="CO7" s="75"/>
      <c r="CP7" s="105"/>
      <c r="CQ7" s="103"/>
    </row>
    <row r="8" spans="1:95">
      <c r="A8" s="645" t="s">
        <v>61</v>
      </c>
      <c r="B8" s="76" t="s">
        <v>41</v>
      </c>
      <c r="C8" s="76" t="s">
        <v>16</v>
      </c>
      <c r="D8" s="647" t="s">
        <v>140</v>
      </c>
      <c r="E8" s="648"/>
      <c r="F8" s="76" t="s">
        <v>42</v>
      </c>
      <c r="G8" s="76" t="s">
        <v>141</v>
      </c>
      <c r="H8" s="76" t="s">
        <v>43</v>
      </c>
      <c r="I8" s="76" t="s">
        <v>142</v>
      </c>
      <c r="J8" s="647" t="s">
        <v>50</v>
      </c>
      <c r="K8" s="648"/>
      <c r="M8" s="645" t="s">
        <v>61</v>
      </c>
      <c r="N8" s="76" t="s">
        <v>41</v>
      </c>
      <c r="O8" s="76" t="s">
        <v>16</v>
      </c>
      <c r="P8" s="647" t="s">
        <v>140</v>
      </c>
      <c r="Q8" s="648"/>
      <c r="R8" s="76" t="s">
        <v>42</v>
      </c>
      <c r="S8" s="76" t="s">
        <v>141</v>
      </c>
      <c r="T8" s="76" t="s">
        <v>43</v>
      </c>
      <c r="U8" s="76" t="s">
        <v>142</v>
      </c>
      <c r="V8" s="647" t="s">
        <v>50</v>
      </c>
      <c r="W8" s="648"/>
      <c r="Y8" s="645" t="s">
        <v>61</v>
      </c>
      <c r="Z8" s="76" t="s">
        <v>41</v>
      </c>
      <c r="AA8" s="76" t="s">
        <v>16</v>
      </c>
      <c r="AB8" s="647" t="s">
        <v>140</v>
      </c>
      <c r="AC8" s="648"/>
      <c r="AD8" s="76" t="s">
        <v>42</v>
      </c>
      <c r="AE8" s="76" t="s">
        <v>141</v>
      </c>
      <c r="AF8" s="76" t="s">
        <v>43</v>
      </c>
      <c r="AG8" s="76" t="s">
        <v>142</v>
      </c>
      <c r="AH8" s="647" t="s">
        <v>50</v>
      </c>
      <c r="AI8" s="648"/>
      <c r="AK8" s="645" t="s">
        <v>61</v>
      </c>
      <c r="AL8" s="76" t="s">
        <v>41</v>
      </c>
      <c r="AM8" s="76" t="s">
        <v>16</v>
      </c>
      <c r="AN8" s="647" t="s">
        <v>140</v>
      </c>
      <c r="AO8" s="648"/>
      <c r="AP8" s="76" t="s">
        <v>42</v>
      </c>
      <c r="AQ8" s="76" t="s">
        <v>141</v>
      </c>
      <c r="AR8" s="76" t="s">
        <v>43</v>
      </c>
      <c r="AS8" s="76" t="s">
        <v>142</v>
      </c>
      <c r="AT8" s="647" t="s">
        <v>50</v>
      </c>
      <c r="AU8" s="648"/>
      <c r="AW8" s="645" t="s">
        <v>61</v>
      </c>
      <c r="AX8" s="76" t="s">
        <v>41</v>
      </c>
      <c r="AY8" s="76" t="s">
        <v>16</v>
      </c>
      <c r="AZ8" s="647" t="s">
        <v>140</v>
      </c>
      <c r="BA8" s="648"/>
      <c r="BB8" s="76" t="s">
        <v>42</v>
      </c>
      <c r="BC8" s="76" t="s">
        <v>141</v>
      </c>
      <c r="BD8" s="76" t="s">
        <v>43</v>
      </c>
      <c r="BE8" s="76" t="s">
        <v>142</v>
      </c>
      <c r="BF8" s="647" t="s">
        <v>50</v>
      </c>
      <c r="BG8" s="648"/>
      <c r="BI8" s="645" t="s">
        <v>61</v>
      </c>
      <c r="BJ8" s="76" t="s">
        <v>41</v>
      </c>
      <c r="BK8" s="76" t="s">
        <v>16</v>
      </c>
      <c r="BL8" s="647" t="s">
        <v>140</v>
      </c>
      <c r="BM8" s="648"/>
      <c r="BN8" s="76" t="s">
        <v>42</v>
      </c>
      <c r="BO8" s="76" t="s">
        <v>141</v>
      </c>
      <c r="BP8" s="76" t="s">
        <v>43</v>
      </c>
      <c r="BQ8" s="76" t="s">
        <v>142</v>
      </c>
      <c r="BR8" s="647" t="s">
        <v>50</v>
      </c>
      <c r="BS8" s="648"/>
      <c r="BU8" s="645" t="s">
        <v>61</v>
      </c>
      <c r="BV8" s="76" t="s">
        <v>41</v>
      </c>
      <c r="BW8" s="76" t="s">
        <v>16</v>
      </c>
      <c r="BX8" s="647" t="s">
        <v>140</v>
      </c>
      <c r="BY8" s="648"/>
      <c r="BZ8" s="76" t="s">
        <v>42</v>
      </c>
      <c r="CA8" s="76" t="s">
        <v>141</v>
      </c>
      <c r="CB8" s="76" t="s">
        <v>43</v>
      </c>
      <c r="CC8" s="76" t="s">
        <v>142</v>
      </c>
      <c r="CD8" s="647" t="s">
        <v>50</v>
      </c>
      <c r="CE8" s="648"/>
      <c r="CG8" s="645" t="s">
        <v>61</v>
      </c>
      <c r="CH8" s="76" t="s">
        <v>41</v>
      </c>
      <c r="CI8" s="76" t="s">
        <v>16</v>
      </c>
      <c r="CJ8" s="647" t="s">
        <v>140</v>
      </c>
      <c r="CK8" s="648"/>
      <c r="CL8" s="76" t="s">
        <v>42</v>
      </c>
      <c r="CM8" s="76" t="s">
        <v>141</v>
      </c>
      <c r="CN8" s="76" t="s">
        <v>43</v>
      </c>
      <c r="CO8" s="76" t="s">
        <v>142</v>
      </c>
      <c r="CP8" s="647" t="s">
        <v>50</v>
      </c>
      <c r="CQ8" s="648"/>
    </row>
    <row r="9" spans="1:95">
      <c r="A9" s="646"/>
      <c r="B9" s="77" t="s">
        <v>195</v>
      </c>
      <c r="C9" s="77" t="s">
        <v>198</v>
      </c>
      <c r="D9" s="640" t="s">
        <v>266</v>
      </c>
      <c r="E9" s="641"/>
      <c r="F9" s="77" t="s">
        <v>196</v>
      </c>
      <c r="G9" s="77" t="s">
        <v>266</v>
      </c>
      <c r="H9" s="77" t="s">
        <v>197</v>
      </c>
      <c r="I9" s="77" t="s">
        <v>266</v>
      </c>
      <c r="J9" s="640" t="s">
        <v>266</v>
      </c>
      <c r="K9" s="641"/>
      <c r="M9" s="646"/>
      <c r="N9" s="77" t="s">
        <v>195</v>
      </c>
      <c r="O9" s="77" t="s">
        <v>198</v>
      </c>
      <c r="P9" s="640" t="s">
        <v>266</v>
      </c>
      <c r="Q9" s="641"/>
      <c r="R9" s="77" t="s">
        <v>196</v>
      </c>
      <c r="S9" s="77" t="s">
        <v>266</v>
      </c>
      <c r="T9" s="77" t="s">
        <v>197</v>
      </c>
      <c r="U9" s="77" t="s">
        <v>266</v>
      </c>
      <c r="V9" s="640" t="s">
        <v>266</v>
      </c>
      <c r="W9" s="641"/>
      <c r="Y9" s="646"/>
      <c r="Z9" s="77" t="s">
        <v>195</v>
      </c>
      <c r="AA9" s="77" t="s">
        <v>198</v>
      </c>
      <c r="AB9" s="640" t="s">
        <v>266</v>
      </c>
      <c r="AC9" s="641"/>
      <c r="AD9" s="77" t="s">
        <v>196</v>
      </c>
      <c r="AE9" s="77" t="s">
        <v>266</v>
      </c>
      <c r="AF9" s="77" t="s">
        <v>197</v>
      </c>
      <c r="AG9" s="77" t="s">
        <v>266</v>
      </c>
      <c r="AH9" s="640" t="s">
        <v>266</v>
      </c>
      <c r="AI9" s="641"/>
      <c r="AK9" s="646"/>
      <c r="AL9" s="77" t="s">
        <v>195</v>
      </c>
      <c r="AM9" s="77" t="s">
        <v>198</v>
      </c>
      <c r="AN9" s="640" t="s">
        <v>266</v>
      </c>
      <c r="AO9" s="641"/>
      <c r="AP9" s="77" t="s">
        <v>196</v>
      </c>
      <c r="AQ9" s="77" t="s">
        <v>266</v>
      </c>
      <c r="AR9" s="77" t="s">
        <v>197</v>
      </c>
      <c r="AS9" s="77" t="s">
        <v>266</v>
      </c>
      <c r="AT9" s="640" t="s">
        <v>266</v>
      </c>
      <c r="AU9" s="641"/>
      <c r="AW9" s="646"/>
      <c r="AX9" s="77" t="s">
        <v>195</v>
      </c>
      <c r="AY9" s="77" t="s">
        <v>198</v>
      </c>
      <c r="AZ9" s="640" t="s">
        <v>266</v>
      </c>
      <c r="BA9" s="641"/>
      <c r="BB9" s="77" t="s">
        <v>196</v>
      </c>
      <c r="BC9" s="77" t="s">
        <v>266</v>
      </c>
      <c r="BD9" s="77" t="s">
        <v>197</v>
      </c>
      <c r="BE9" s="77" t="s">
        <v>266</v>
      </c>
      <c r="BF9" s="640" t="s">
        <v>266</v>
      </c>
      <c r="BG9" s="641"/>
      <c r="BI9" s="646"/>
      <c r="BJ9" s="77" t="s">
        <v>195</v>
      </c>
      <c r="BK9" s="77" t="s">
        <v>198</v>
      </c>
      <c r="BL9" s="640" t="s">
        <v>266</v>
      </c>
      <c r="BM9" s="641"/>
      <c r="BN9" s="77" t="s">
        <v>196</v>
      </c>
      <c r="BO9" s="77" t="s">
        <v>266</v>
      </c>
      <c r="BP9" s="77" t="s">
        <v>197</v>
      </c>
      <c r="BQ9" s="77" t="s">
        <v>266</v>
      </c>
      <c r="BR9" s="640" t="s">
        <v>266</v>
      </c>
      <c r="BS9" s="641"/>
      <c r="BU9" s="646"/>
      <c r="BV9" s="77" t="s">
        <v>195</v>
      </c>
      <c r="BW9" s="77" t="s">
        <v>198</v>
      </c>
      <c r="BX9" s="640" t="s">
        <v>266</v>
      </c>
      <c r="BY9" s="641"/>
      <c r="BZ9" s="77" t="s">
        <v>196</v>
      </c>
      <c r="CA9" s="77" t="s">
        <v>266</v>
      </c>
      <c r="CB9" s="77" t="s">
        <v>197</v>
      </c>
      <c r="CC9" s="77" t="s">
        <v>266</v>
      </c>
      <c r="CD9" s="640" t="s">
        <v>266</v>
      </c>
      <c r="CE9" s="641"/>
      <c r="CG9" s="646"/>
      <c r="CH9" s="77" t="s">
        <v>195</v>
      </c>
      <c r="CI9" s="77" t="s">
        <v>198</v>
      </c>
      <c r="CJ9" s="640" t="s">
        <v>266</v>
      </c>
      <c r="CK9" s="641"/>
      <c r="CL9" s="77" t="s">
        <v>196</v>
      </c>
      <c r="CM9" s="77" t="s">
        <v>266</v>
      </c>
      <c r="CN9" s="77" t="s">
        <v>197</v>
      </c>
      <c r="CO9" s="77" t="s">
        <v>266</v>
      </c>
      <c r="CP9" s="640" t="s">
        <v>266</v>
      </c>
      <c r="CQ9" s="641"/>
    </row>
    <row r="10" spans="1:95">
      <c r="A10" s="78" t="s">
        <v>131</v>
      </c>
      <c r="B10" s="200"/>
      <c r="C10" s="135"/>
      <c r="D10" s="699"/>
      <c r="E10" s="700"/>
      <c r="F10" s="135"/>
      <c r="G10" s="135"/>
      <c r="H10" s="135"/>
      <c r="I10" s="134"/>
      <c r="J10" s="701"/>
      <c r="K10" s="702"/>
      <c r="M10" s="78" t="s">
        <v>131</v>
      </c>
      <c r="N10" s="455">
        <v>0</v>
      </c>
      <c r="O10" s="455">
        <v>0</v>
      </c>
      <c r="P10" s="677">
        <v>0</v>
      </c>
      <c r="Q10" s="678"/>
      <c r="R10" s="455">
        <v>0</v>
      </c>
      <c r="S10" s="600">
        <v>0</v>
      </c>
      <c r="T10" s="455">
        <v>0</v>
      </c>
      <c r="U10" s="455">
        <v>0</v>
      </c>
      <c r="V10" s="691">
        <v>0</v>
      </c>
      <c r="W10" s="692"/>
      <c r="Y10" s="78" t="s">
        <v>131</v>
      </c>
      <c r="Z10" s="455">
        <f>TankLoad!Q54</f>
        <v>1014.4700000000003</v>
      </c>
      <c r="AA10" s="455">
        <f>TankLoad!R54</f>
        <v>10.572960560686857</v>
      </c>
      <c r="AB10" s="677">
        <f>TankLoad!S54</f>
        <v>10725.951299999999</v>
      </c>
      <c r="AC10" s="678"/>
      <c r="AD10" s="455">
        <f>TankLoad!T54</f>
        <v>135.99606296884085</v>
      </c>
      <c r="AE10" s="600">
        <f>TankLoad!U54</f>
        <v>137963.92600000001</v>
      </c>
      <c r="AF10" s="455">
        <f>TankLoad!V54</f>
        <v>1.1013180281329167</v>
      </c>
      <c r="AG10" s="600">
        <f>TankLoad!W54</f>
        <v>1117.2541000000003</v>
      </c>
      <c r="AH10" s="691">
        <f>TankLoad!X54</f>
        <v>4345.1900000000005</v>
      </c>
      <c r="AI10" s="692"/>
      <c r="AK10" s="78" t="s">
        <v>131</v>
      </c>
      <c r="AL10" s="455">
        <f>TankLoad!Q54</f>
        <v>1014.4700000000003</v>
      </c>
      <c r="AM10" s="455">
        <f>TankLoad!R54</f>
        <v>10.572960560686857</v>
      </c>
      <c r="AN10" s="677">
        <f>TankLoad!S54</f>
        <v>10725.951299999999</v>
      </c>
      <c r="AO10" s="678"/>
      <c r="AP10" s="455">
        <f>TankLoad!T54</f>
        <v>135.99606296884085</v>
      </c>
      <c r="AQ10" s="600">
        <f>TankLoad!U54</f>
        <v>137963.92600000001</v>
      </c>
      <c r="AR10" s="455">
        <f>TankLoad!V54</f>
        <v>1.1013180281329167</v>
      </c>
      <c r="AS10" s="600">
        <f>TankLoad!W54</f>
        <v>1117.2541000000003</v>
      </c>
      <c r="AT10" s="691">
        <f>TankLoad!X54</f>
        <v>4345.1900000000005</v>
      </c>
      <c r="AU10" s="692"/>
      <c r="AW10" s="78" t="s">
        <v>131</v>
      </c>
      <c r="AX10" s="455">
        <f>TankLoad!AC54</f>
        <v>911.54</v>
      </c>
      <c r="AY10" s="455">
        <f>TankLoad!AD54</f>
        <v>9.3351425060885944</v>
      </c>
      <c r="AZ10" s="677">
        <f>TankLoad!AE54</f>
        <v>8509.3557999999975</v>
      </c>
      <c r="BA10" s="678"/>
      <c r="BB10" s="455">
        <f>TankLoad!AF54</f>
        <v>144.79141705246073</v>
      </c>
      <c r="BC10" s="600">
        <f>TankLoad!AG54</f>
        <v>131983.16830000005</v>
      </c>
      <c r="BD10" s="455">
        <f>TankLoad!AH54</f>
        <v>1.6330135814116773</v>
      </c>
      <c r="BE10" s="600">
        <f>TankLoad!AI54</f>
        <v>1488.5572000000002</v>
      </c>
      <c r="BF10" s="691">
        <f>TankLoad!AJ54</f>
        <v>3871.83</v>
      </c>
      <c r="BG10" s="692"/>
      <c r="BI10" s="78" t="s">
        <v>131</v>
      </c>
      <c r="BJ10" s="455">
        <f>TankLoad!AC54</f>
        <v>911.54</v>
      </c>
      <c r="BK10" s="455">
        <f>TankLoad!AD54</f>
        <v>9.3351425060885944</v>
      </c>
      <c r="BL10" s="677">
        <f>TankLoad!AE54</f>
        <v>8509.3557999999975</v>
      </c>
      <c r="BM10" s="678"/>
      <c r="BN10" s="455">
        <f>TankLoad!AF54</f>
        <v>144.79141705246073</v>
      </c>
      <c r="BO10" s="600">
        <f>TankLoad!AG54</f>
        <v>131983.16830000005</v>
      </c>
      <c r="BP10" s="455">
        <f>TankLoad!AH54</f>
        <v>1.6330135814116773</v>
      </c>
      <c r="BQ10" s="600">
        <f>TankLoad!AI54</f>
        <v>1488.5572000000002</v>
      </c>
      <c r="BR10" s="691">
        <f>TankLoad!AJ54</f>
        <v>3871.83</v>
      </c>
      <c r="BS10" s="692"/>
      <c r="BU10" s="78" t="s">
        <v>131</v>
      </c>
      <c r="BV10" s="455">
        <f>TankLoad!AO54</f>
        <v>750.13</v>
      </c>
      <c r="BW10" s="455">
        <f>TankLoad!AP54</f>
        <v>8.1771138336021778</v>
      </c>
      <c r="BX10" s="677">
        <f>TankLoad!AQ54</f>
        <v>6133.8984000000009</v>
      </c>
      <c r="BY10" s="678"/>
      <c r="BZ10" s="455">
        <f>TankLoad!AR54</f>
        <v>135.30926132803646</v>
      </c>
      <c r="CA10" s="600">
        <f>TankLoad!AS54</f>
        <v>101499.53619999999</v>
      </c>
      <c r="CB10" s="455">
        <f>TankLoad!AT54</f>
        <v>1.9914533480863317</v>
      </c>
      <c r="CC10" s="600">
        <f>TankLoad!AU54</f>
        <v>1493.8489</v>
      </c>
      <c r="CD10" s="691">
        <f>TankLoad!AV54</f>
        <v>3681.11</v>
      </c>
      <c r="CE10" s="692"/>
      <c r="CG10" s="78" t="s">
        <v>131</v>
      </c>
      <c r="CH10" s="455">
        <f>TankLoad!AO54</f>
        <v>750.13</v>
      </c>
      <c r="CI10" s="455">
        <f>TankLoad!AP54</f>
        <v>8.1771138336021778</v>
      </c>
      <c r="CJ10" s="689">
        <f>TankLoad!AQ54</f>
        <v>6133.8984000000009</v>
      </c>
      <c r="CK10" s="690"/>
      <c r="CL10" s="455">
        <f>TankLoad!AR54</f>
        <v>135.30926132803646</v>
      </c>
      <c r="CM10" s="600">
        <f>TankLoad!AS54</f>
        <v>101499.53619999999</v>
      </c>
      <c r="CN10" s="455">
        <f>TankLoad!AT54</f>
        <v>1.9914533480863317</v>
      </c>
      <c r="CO10" s="600">
        <f>TankLoad!AU54</f>
        <v>1493.8489</v>
      </c>
      <c r="CP10" s="691">
        <f>TankLoad!AV54</f>
        <v>3681.11</v>
      </c>
      <c r="CQ10" s="692"/>
    </row>
    <row r="11" spans="1:95">
      <c r="A11" s="79" t="s">
        <v>46</v>
      </c>
      <c r="B11" s="136"/>
      <c r="C11" s="136"/>
      <c r="D11" s="687"/>
      <c r="E11" s="688"/>
      <c r="F11" s="136"/>
      <c r="G11" s="136"/>
      <c r="H11" s="136"/>
      <c r="I11" s="136"/>
      <c r="J11" s="693"/>
      <c r="K11" s="694"/>
      <c r="M11" s="79" t="s">
        <v>46</v>
      </c>
      <c r="N11" s="459">
        <v>0</v>
      </c>
      <c r="O11" s="459">
        <v>0</v>
      </c>
      <c r="P11" s="695">
        <v>0</v>
      </c>
      <c r="Q11" s="696"/>
      <c r="R11" s="459">
        <v>0</v>
      </c>
      <c r="S11" s="601">
        <v>0</v>
      </c>
      <c r="T11" s="459">
        <v>0</v>
      </c>
      <c r="U11" s="459">
        <v>0</v>
      </c>
      <c r="V11" s="651">
        <v>0</v>
      </c>
      <c r="W11" s="652"/>
      <c r="Y11" s="79" t="s">
        <v>46</v>
      </c>
      <c r="Z11" s="459">
        <f>MissionLoad!P47</f>
        <v>174.79999999999998</v>
      </c>
      <c r="AA11" s="459">
        <f>MissionLoad!Q47</f>
        <v>29.960549199084667</v>
      </c>
      <c r="AB11" s="695">
        <f>MissionLoad!R47</f>
        <v>5237.1039999999994</v>
      </c>
      <c r="AC11" s="696"/>
      <c r="AD11" s="459">
        <f>MissionLoad!S47</f>
        <v>130.9804691075515</v>
      </c>
      <c r="AE11" s="601">
        <f>MissionLoad!T47</f>
        <v>22895.385999999999</v>
      </c>
      <c r="AF11" s="459">
        <f>MissionLoad!U47</f>
        <v>1.0816590389016016</v>
      </c>
      <c r="AG11" s="601">
        <f>MissionLoad!V47</f>
        <v>189.07399999999996</v>
      </c>
      <c r="AH11" s="651">
        <v>0</v>
      </c>
      <c r="AI11" s="652"/>
      <c r="AK11" s="79" t="s">
        <v>46</v>
      </c>
      <c r="AL11" s="459">
        <f>MissionLoad!P47</f>
        <v>174.79999999999998</v>
      </c>
      <c r="AM11" s="459">
        <f>MissionLoad!Q47</f>
        <v>29.960549199084667</v>
      </c>
      <c r="AN11" s="695">
        <f>MissionLoad!R47</f>
        <v>5237.1039999999994</v>
      </c>
      <c r="AO11" s="696"/>
      <c r="AP11" s="459">
        <f>MissionLoad!S47</f>
        <v>130.9804691075515</v>
      </c>
      <c r="AQ11" s="601">
        <f>MissionLoad!T47</f>
        <v>22895.385999999999</v>
      </c>
      <c r="AR11" s="459">
        <f>MissionLoad!U47</f>
        <v>1.0816590389016016</v>
      </c>
      <c r="AS11" s="601">
        <f>MissionLoad!V47</f>
        <v>189.07399999999996</v>
      </c>
      <c r="AT11" s="651">
        <v>0</v>
      </c>
      <c r="AU11" s="652"/>
      <c r="AW11" s="79" t="s">
        <v>46</v>
      </c>
      <c r="AX11" s="459">
        <f>MissionLoad!AA47</f>
        <v>161.29999999999998</v>
      </c>
      <c r="AY11" s="457">
        <f>MissionLoad!AB47</f>
        <v>30.403620582765033</v>
      </c>
      <c r="AZ11" s="695">
        <f>MissionLoad!AC47</f>
        <v>4904.1039999999994</v>
      </c>
      <c r="BA11" s="696"/>
      <c r="BB11" s="457">
        <f>MissionLoad!AD47</f>
        <v>138.84306261624303</v>
      </c>
      <c r="BC11" s="601">
        <f>MissionLoad!AE47</f>
        <v>22395.385999999999</v>
      </c>
      <c r="BD11" s="457">
        <f>MissionLoad!AF47</f>
        <v>1.0993428394296343</v>
      </c>
      <c r="BE11" s="601">
        <f>MissionLoad!AG47</f>
        <v>177.32399999999998</v>
      </c>
      <c r="BF11" s="669">
        <v>0</v>
      </c>
      <c r="BG11" s="670"/>
      <c r="BI11" s="79" t="s">
        <v>46</v>
      </c>
      <c r="BJ11" s="459">
        <f>MissionLoad!AA47</f>
        <v>161.29999999999998</v>
      </c>
      <c r="BK11" s="459">
        <f>MissionLoad!AB47</f>
        <v>30.403620582765033</v>
      </c>
      <c r="BL11" s="695">
        <f>MissionLoad!AC47</f>
        <v>4904.1039999999994</v>
      </c>
      <c r="BM11" s="696"/>
      <c r="BN11" s="459">
        <f>MissionLoad!AD47</f>
        <v>138.84306261624303</v>
      </c>
      <c r="BO11" s="601">
        <f>MissionLoad!AE47</f>
        <v>22395.385999999999</v>
      </c>
      <c r="BP11" s="459">
        <f>MissionLoad!AF47</f>
        <v>1.0993428394296343</v>
      </c>
      <c r="BQ11" s="601">
        <f>MissionLoad!AG47</f>
        <v>177.32399999999998</v>
      </c>
      <c r="BR11" s="651">
        <v>0</v>
      </c>
      <c r="BS11" s="652"/>
      <c r="BU11" s="79" t="s">
        <v>46</v>
      </c>
      <c r="BV11" s="459">
        <f>MissionLoad!AL47</f>
        <v>150.5</v>
      </c>
      <c r="BW11" s="459">
        <f>MissionLoad!AM47</f>
        <v>30.815308970099665</v>
      </c>
      <c r="BX11" s="695">
        <f>MissionLoad!AN47</f>
        <v>4637.7039999999997</v>
      </c>
      <c r="BY11" s="696"/>
      <c r="BZ11" s="459">
        <f>MissionLoad!AO47</f>
        <v>146.14874418604651</v>
      </c>
      <c r="CA11" s="601">
        <f>MissionLoad!AP47</f>
        <v>21995.385999999999</v>
      </c>
      <c r="CB11" s="459">
        <f>MissionLoad!AQ47</f>
        <v>1.1157740863787375</v>
      </c>
      <c r="CC11" s="601">
        <f>MissionLoad!AR47</f>
        <v>167.92400000000001</v>
      </c>
      <c r="CD11" s="651">
        <v>0</v>
      </c>
      <c r="CE11" s="652"/>
      <c r="CG11" s="79" t="s">
        <v>46</v>
      </c>
      <c r="CH11" s="459">
        <f>MissionLoad!AL47</f>
        <v>150.5</v>
      </c>
      <c r="CI11" s="459">
        <f>MissionLoad!AM47</f>
        <v>30.815308970099665</v>
      </c>
      <c r="CJ11" s="697">
        <f>MissionLoad!AN47</f>
        <v>4637.7039999999997</v>
      </c>
      <c r="CK11" s="698"/>
      <c r="CL11" s="457">
        <f>MissionLoad!AO47</f>
        <v>146.14874418604651</v>
      </c>
      <c r="CM11" s="601">
        <f>MissionLoad!AP47</f>
        <v>21995.385999999999</v>
      </c>
      <c r="CN11" s="457">
        <f>MissionLoad!AQ47</f>
        <v>1.1157740863787375</v>
      </c>
      <c r="CO11" s="601">
        <f>MissionLoad!AR47</f>
        <v>167.92400000000001</v>
      </c>
      <c r="CP11" s="669">
        <v>0</v>
      </c>
      <c r="CQ11" s="670"/>
    </row>
    <row r="12" spans="1:95">
      <c r="A12" s="80" t="s">
        <v>132</v>
      </c>
      <c r="B12" s="137"/>
      <c r="C12" s="137"/>
      <c r="D12" s="685"/>
      <c r="E12" s="686"/>
      <c r="F12" s="137"/>
      <c r="G12" s="137"/>
      <c r="H12" s="137"/>
      <c r="I12" s="137"/>
      <c r="J12" s="687"/>
      <c r="K12" s="688"/>
      <c r="M12" s="80" t="s">
        <v>132</v>
      </c>
      <c r="N12" s="460">
        <v>0</v>
      </c>
      <c r="O12" s="460">
        <v>0</v>
      </c>
      <c r="P12" s="649">
        <v>0</v>
      </c>
      <c r="Q12" s="650"/>
      <c r="R12" s="460">
        <v>0</v>
      </c>
      <c r="S12" s="602">
        <v>0</v>
      </c>
      <c r="T12" s="460">
        <v>0</v>
      </c>
      <c r="U12" s="460">
        <v>0</v>
      </c>
      <c r="V12" s="657">
        <v>0</v>
      </c>
      <c r="W12" s="658"/>
      <c r="Y12" s="80" t="s">
        <v>132</v>
      </c>
      <c r="Z12" s="460">
        <v>0</v>
      </c>
      <c r="AA12" s="177">
        <v>0</v>
      </c>
      <c r="AB12" s="649">
        <v>0</v>
      </c>
      <c r="AC12" s="650"/>
      <c r="AD12" s="177">
        <v>0</v>
      </c>
      <c r="AE12" s="602">
        <v>0</v>
      </c>
      <c r="AF12" s="177">
        <v>0</v>
      </c>
      <c r="AG12" s="602">
        <v>0</v>
      </c>
      <c r="AH12" s="657">
        <v>0</v>
      </c>
      <c r="AI12" s="658"/>
      <c r="AK12" s="80" t="s">
        <v>132</v>
      </c>
      <c r="AL12" s="460">
        <v>76.819999999999993</v>
      </c>
      <c r="AM12" s="177">
        <v>44.3</v>
      </c>
      <c r="AN12" s="649">
        <f>AM12*AL12</f>
        <v>3403.1259999999993</v>
      </c>
      <c r="AO12" s="650"/>
      <c r="AP12" s="177">
        <v>99.55</v>
      </c>
      <c r="AQ12" s="602">
        <f>AP12*AL12</f>
        <v>7647.4309999999987</v>
      </c>
      <c r="AR12" s="177">
        <v>-0.61</v>
      </c>
      <c r="AS12" s="602">
        <f>AR12*AL12</f>
        <v>-46.860199999999992</v>
      </c>
      <c r="AT12" s="655">
        <v>0</v>
      </c>
      <c r="AU12" s="656"/>
      <c r="AW12" s="80" t="s">
        <v>132</v>
      </c>
      <c r="AX12" s="460">
        <v>0</v>
      </c>
      <c r="AY12" s="177">
        <v>0</v>
      </c>
      <c r="AZ12" s="649">
        <v>0</v>
      </c>
      <c r="BA12" s="650"/>
      <c r="BB12" s="177">
        <v>0</v>
      </c>
      <c r="BC12" s="602">
        <v>0</v>
      </c>
      <c r="BD12" s="177">
        <v>0</v>
      </c>
      <c r="BE12" s="602">
        <v>0</v>
      </c>
      <c r="BF12" s="653">
        <v>0</v>
      </c>
      <c r="BG12" s="654"/>
      <c r="BI12" s="80" t="s">
        <v>132</v>
      </c>
      <c r="BJ12" s="460">
        <v>76.819999999999993</v>
      </c>
      <c r="BK12" s="177">
        <v>44.3</v>
      </c>
      <c r="BL12" s="649">
        <f>BK12*BJ12</f>
        <v>3403.1259999999993</v>
      </c>
      <c r="BM12" s="650"/>
      <c r="BN12" s="177">
        <v>99.55</v>
      </c>
      <c r="BO12" s="602">
        <f>BN12*BJ12</f>
        <v>7647.4309999999987</v>
      </c>
      <c r="BP12" s="177">
        <v>-0.61</v>
      </c>
      <c r="BQ12" s="602">
        <f>BP12*BJ12</f>
        <v>-46.860199999999992</v>
      </c>
      <c r="BR12" s="655">
        <v>0</v>
      </c>
      <c r="BS12" s="656"/>
      <c r="BU12" s="80" t="s">
        <v>132</v>
      </c>
      <c r="BV12" s="460">
        <v>0</v>
      </c>
      <c r="BW12" s="460">
        <v>0</v>
      </c>
      <c r="BX12" s="649">
        <v>0</v>
      </c>
      <c r="BY12" s="650"/>
      <c r="BZ12" s="460">
        <v>0</v>
      </c>
      <c r="CA12" s="602">
        <v>0</v>
      </c>
      <c r="CB12" s="460">
        <v>0</v>
      </c>
      <c r="CC12" s="602">
        <v>0</v>
      </c>
      <c r="CD12" s="657">
        <v>0</v>
      </c>
      <c r="CE12" s="658"/>
      <c r="CG12" s="80" t="s">
        <v>132</v>
      </c>
      <c r="CH12" s="460">
        <v>76.819999999999993</v>
      </c>
      <c r="CI12" s="177">
        <v>44.3</v>
      </c>
      <c r="CJ12" s="649">
        <f>CI12*CH12</f>
        <v>3403.1259999999993</v>
      </c>
      <c r="CK12" s="650"/>
      <c r="CL12" s="177">
        <v>99.55</v>
      </c>
      <c r="CM12" s="602">
        <f>CL12*CH12</f>
        <v>7647.4309999999987</v>
      </c>
      <c r="CN12" s="177">
        <v>-0.61</v>
      </c>
      <c r="CO12" s="602">
        <f>CN12*CH12</f>
        <v>-46.860199999999992</v>
      </c>
      <c r="CP12" s="655">
        <v>0</v>
      </c>
      <c r="CQ12" s="656"/>
    </row>
    <row r="13" spans="1:95">
      <c r="A13" s="81" t="s">
        <v>96</v>
      </c>
      <c r="B13" s="135"/>
      <c r="C13" s="135"/>
      <c r="D13" s="673"/>
      <c r="E13" s="674"/>
      <c r="F13" s="135"/>
      <c r="G13" s="135"/>
      <c r="H13" s="135"/>
      <c r="I13" s="135"/>
      <c r="J13" s="675"/>
      <c r="K13" s="676"/>
      <c r="M13" s="81" t="s">
        <v>96</v>
      </c>
      <c r="N13" s="461">
        <f>SUM(N10:N12)</f>
        <v>0</v>
      </c>
      <c r="O13" s="456">
        <f>IFERROR(P13/N13,0)</f>
        <v>0</v>
      </c>
      <c r="P13" s="677">
        <f>SUM(P10:Q12)</f>
        <v>0</v>
      </c>
      <c r="Q13" s="678"/>
      <c r="R13" s="456">
        <f>IFERROR(S13/N13,0)</f>
        <v>0</v>
      </c>
      <c r="S13" s="603">
        <f>SUM(S10:S12)</f>
        <v>0</v>
      </c>
      <c r="T13" s="456">
        <f>IFERROR(U13/N13,0)</f>
        <v>0</v>
      </c>
      <c r="U13" s="456">
        <f>SUM(U10:U12)</f>
        <v>0</v>
      </c>
      <c r="V13" s="679">
        <f>SUM(V10:W12)</f>
        <v>0</v>
      </c>
      <c r="W13" s="680"/>
      <c r="X13" s="454"/>
      <c r="Y13" s="81" t="s">
        <v>96</v>
      </c>
      <c r="Z13" s="461">
        <f>SUM(Z10:Z12)</f>
        <v>1189.2700000000002</v>
      </c>
      <c r="AA13" s="456">
        <f>IFERROR(AB13/Z13,0)</f>
        <v>13.422566196069853</v>
      </c>
      <c r="AB13" s="677">
        <f>SUM(AB10:AC12)</f>
        <v>15963.055299999998</v>
      </c>
      <c r="AC13" s="678"/>
      <c r="AD13" s="456">
        <f>IFERROR(AE13/Z13,0)</f>
        <v>135.25886636339936</v>
      </c>
      <c r="AE13" s="603">
        <f>SUM(AE10:AE12)</f>
        <v>160859.31200000001</v>
      </c>
      <c r="AF13" s="456">
        <f>IFERROR(AG13/Z13,0)</f>
        <v>1.0984285317884079</v>
      </c>
      <c r="AG13" s="603">
        <f>SUM(AG10:AG12)</f>
        <v>1306.3281000000002</v>
      </c>
      <c r="AH13" s="679">
        <f>SUM(AH10:AI12)</f>
        <v>4345.1900000000005</v>
      </c>
      <c r="AI13" s="680"/>
      <c r="AK13" s="81" t="s">
        <v>96</v>
      </c>
      <c r="AL13" s="461">
        <f>SUM(AL10:AL12)</f>
        <v>1266.0900000000001</v>
      </c>
      <c r="AM13" s="461">
        <f>IFERROR(AN13/AL13,0)</f>
        <v>15.296054229952052</v>
      </c>
      <c r="AN13" s="677">
        <f>SUM(AN10:AO12)</f>
        <v>19366.181299999997</v>
      </c>
      <c r="AO13" s="678"/>
      <c r="AP13" s="461">
        <f>IFERROR(AQ13/AL13,0)</f>
        <v>133.09223119999368</v>
      </c>
      <c r="AQ13" s="603">
        <f>SUM(AQ10:AQ12)</f>
        <v>168506.74300000002</v>
      </c>
      <c r="AR13" s="461">
        <f>IFERROR(AS13/AL13,0)</f>
        <v>0.99476964512791344</v>
      </c>
      <c r="AS13" s="603">
        <f>SUM(AS10:AS12)</f>
        <v>1259.4679000000001</v>
      </c>
      <c r="AT13" s="679">
        <f>SUM(AT10:AU12)</f>
        <v>4345.1900000000005</v>
      </c>
      <c r="AU13" s="680"/>
      <c r="AW13" s="81" t="s">
        <v>96</v>
      </c>
      <c r="AX13" s="461">
        <f>SUM(AX10:AX12)</f>
        <v>1072.8399999999999</v>
      </c>
      <c r="AY13" s="456">
        <f>IFERROR(AZ13/AX13,0)</f>
        <v>12.502758845680621</v>
      </c>
      <c r="AZ13" s="677">
        <f>SUM(AZ10:BA12)</f>
        <v>13413.459799999997</v>
      </c>
      <c r="BA13" s="678"/>
      <c r="BB13" s="456">
        <f>IFERROR(BC13/AX13,0)</f>
        <v>143.89709024644873</v>
      </c>
      <c r="BC13" s="603">
        <f>SUM(BC10:BC12)</f>
        <v>154378.55430000005</v>
      </c>
      <c r="BD13" s="456">
        <f>IFERROR(BE13/AX13,0)</f>
        <v>1.5527769285261552</v>
      </c>
      <c r="BE13" s="603">
        <f>SUM(BE10:BE12)</f>
        <v>1665.8812000000003</v>
      </c>
      <c r="BF13" s="681">
        <f>SUM(BF10:BG12)</f>
        <v>3871.83</v>
      </c>
      <c r="BG13" s="682"/>
      <c r="BI13" s="81" t="s">
        <v>96</v>
      </c>
      <c r="BJ13" s="461">
        <f>SUM(BJ10:BJ12)</f>
        <v>1149.6599999999999</v>
      </c>
      <c r="BK13" s="456">
        <f>IFERROR(BL13/BJ13,0)</f>
        <v>14.627442722196127</v>
      </c>
      <c r="BL13" s="677">
        <f>SUM(BL10:BM12)</f>
        <v>16816.585799999997</v>
      </c>
      <c r="BM13" s="678"/>
      <c r="BN13" s="456">
        <f>IFERROR(BO13/BJ13,0)</f>
        <v>140.93382852321562</v>
      </c>
      <c r="BO13" s="603">
        <f>SUM(BO10:BO12)</f>
        <v>162025.98530000006</v>
      </c>
      <c r="BP13" s="456">
        <f>IFERROR(BQ13/BJ13,0)</f>
        <v>1.4082607031644141</v>
      </c>
      <c r="BQ13" s="603">
        <f>SUM(BQ10:BQ12)</f>
        <v>1619.0210000000002</v>
      </c>
      <c r="BR13" s="679">
        <f>SUM(BR10:BS12)</f>
        <v>3871.83</v>
      </c>
      <c r="BS13" s="680"/>
      <c r="BU13" s="81" t="s">
        <v>96</v>
      </c>
      <c r="BV13" s="461">
        <f>SUM(BV10:BV12)</f>
        <v>900.63</v>
      </c>
      <c r="BW13" s="461">
        <f>IFERROR(BX13/BV13,0)</f>
        <v>11.960075058570112</v>
      </c>
      <c r="BX13" s="677">
        <f>SUM(BX10:BY12)</f>
        <v>10771.6024</v>
      </c>
      <c r="BY13" s="678"/>
      <c r="BZ13" s="461">
        <f>IFERROR(CA13/BV13,0)</f>
        <v>137.12059580515859</v>
      </c>
      <c r="CA13" s="603">
        <f>SUM(CA10:CA12)</f>
        <v>123494.92219999999</v>
      </c>
      <c r="CB13" s="461">
        <f>IFERROR(CC13/BV13,0)</f>
        <v>1.8451227474101461</v>
      </c>
      <c r="CC13" s="603">
        <f>SUM(CC10:CC12)</f>
        <v>1661.7728999999999</v>
      </c>
      <c r="CD13" s="679">
        <f>SUM(CD10:CE12)</f>
        <v>3681.11</v>
      </c>
      <c r="CE13" s="680"/>
      <c r="CG13" s="81" t="s">
        <v>96</v>
      </c>
      <c r="CH13" s="461">
        <f>SUM(CH10:CH12)</f>
        <v>977.45</v>
      </c>
      <c r="CI13" s="456">
        <f>IFERROR(CJ13/CH13,0)</f>
        <v>14.501742697836205</v>
      </c>
      <c r="CJ13" s="677">
        <f>SUM(CJ10:CK12)</f>
        <v>14174.7284</v>
      </c>
      <c r="CK13" s="678"/>
      <c r="CL13" s="456">
        <f>IFERROR(CM13/CH13,0)</f>
        <v>134.16783794567496</v>
      </c>
      <c r="CM13" s="603">
        <f>SUM(CM10:CM12)</f>
        <v>131142.35319999998</v>
      </c>
      <c r="CN13" s="456">
        <f>IFERROR(CO13/CH13,0)</f>
        <v>1.6521691135096421</v>
      </c>
      <c r="CO13" s="603">
        <f>SUM(CO10:CO12)</f>
        <v>1614.9126999999999</v>
      </c>
      <c r="CP13" s="683">
        <f>SUM(CP10:CQ12)</f>
        <v>3681.11</v>
      </c>
      <c r="CQ13" s="684"/>
    </row>
    <row r="14" spans="1:95">
      <c r="A14" s="82" t="s">
        <v>97</v>
      </c>
      <c r="B14" s="177">
        <v>2683.23</v>
      </c>
      <c r="C14" s="177">
        <v>24.06</v>
      </c>
      <c r="D14" s="667">
        <f>C14*B14</f>
        <v>64558.513800000001</v>
      </c>
      <c r="E14" s="668"/>
      <c r="F14" s="177">
        <v>115.04</v>
      </c>
      <c r="G14" s="605">
        <f>F14*B14</f>
        <v>308678.77919999999</v>
      </c>
      <c r="H14" s="177">
        <v>-0.56000000000000005</v>
      </c>
      <c r="I14" s="605">
        <f>H14*B14</f>
        <v>-1502.6088000000002</v>
      </c>
      <c r="J14" s="669">
        <v>0</v>
      </c>
      <c r="K14" s="670"/>
      <c r="M14" s="82" t="s">
        <v>97</v>
      </c>
      <c r="N14" s="460">
        <f>B14</f>
        <v>2683.23</v>
      </c>
      <c r="O14" s="177">
        <f>C14</f>
        <v>24.06</v>
      </c>
      <c r="P14" s="649">
        <f>D14</f>
        <v>64558.513800000001</v>
      </c>
      <c r="Q14" s="650"/>
      <c r="R14" s="177">
        <f>F14</f>
        <v>115.04</v>
      </c>
      <c r="S14" s="602">
        <f>G14</f>
        <v>308678.77919999999</v>
      </c>
      <c r="T14" s="177">
        <f>H14</f>
        <v>-0.56000000000000005</v>
      </c>
      <c r="U14" s="177">
        <f>I14</f>
        <v>-1502.6088000000002</v>
      </c>
      <c r="V14" s="651">
        <f>J14</f>
        <v>0</v>
      </c>
      <c r="W14" s="652"/>
      <c r="Y14" s="82" t="s">
        <v>97</v>
      </c>
      <c r="Z14" s="460">
        <f>N14</f>
        <v>2683.23</v>
      </c>
      <c r="AA14" s="177">
        <f>O14</f>
        <v>24.06</v>
      </c>
      <c r="AB14" s="649">
        <f>P14</f>
        <v>64558.513800000001</v>
      </c>
      <c r="AC14" s="650"/>
      <c r="AD14" s="177">
        <f>R14</f>
        <v>115.04</v>
      </c>
      <c r="AE14" s="602">
        <f>S14</f>
        <v>308678.77919999999</v>
      </c>
      <c r="AF14" s="177">
        <f>T14</f>
        <v>-0.56000000000000005</v>
      </c>
      <c r="AG14" s="602">
        <f>U14</f>
        <v>-1502.6088000000002</v>
      </c>
      <c r="AH14" s="651">
        <f>V14</f>
        <v>0</v>
      </c>
      <c r="AI14" s="652"/>
      <c r="AK14" s="82" t="s">
        <v>97</v>
      </c>
      <c r="AL14" s="460">
        <f>Z14</f>
        <v>2683.23</v>
      </c>
      <c r="AM14" s="460">
        <f>AA14</f>
        <v>24.06</v>
      </c>
      <c r="AN14" s="649">
        <f>AB14</f>
        <v>64558.513800000001</v>
      </c>
      <c r="AO14" s="650"/>
      <c r="AP14" s="460">
        <f>AD14</f>
        <v>115.04</v>
      </c>
      <c r="AQ14" s="602">
        <f>AE14</f>
        <v>308678.77919999999</v>
      </c>
      <c r="AR14" s="460">
        <f>AF14</f>
        <v>-0.56000000000000005</v>
      </c>
      <c r="AS14" s="602">
        <f>AG14</f>
        <v>-1502.6088000000002</v>
      </c>
      <c r="AT14" s="651">
        <f>AH14</f>
        <v>0</v>
      </c>
      <c r="AU14" s="652"/>
      <c r="AW14" s="82" t="s">
        <v>97</v>
      </c>
      <c r="AX14" s="460">
        <f>AL14</f>
        <v>2683.23</v>
      </c>
      <c r="AY14" s="177">
        <f>AM14</f>
        <v>24.06</v>
      </c>
      <c r="AZ14" s="649">
        <f>AN14</f>
        <v>64558.513800000001</v>
      </c>
      <c r="BA14" s="650"/>
      <c r="BB14" s="177">
        <f>AP14</f>
        <v>115.04</v>
      </c>
      <c r="BC14" s="602">
        <f>AQ14</f>
        <v>308678.77919999999</v>
      </c>
      <c r="BD14" s="177">
        <f>AR14</f>
        <v>-0.56000000000000005</v>
      </c>
      <c r="BE14" s="602">
        <f>AS14</f>
        <v>-1502.6088000000002</v>
      </c>
      <c r="BF14" s="669">
        <f>AT14</f>
        <v>0</v>
      </c>
      <c r="BG14" s="670"/>
      <c r="BI14" s="82" t="s">
        <v>97</v>
      </c>
      <c r="BJ14" s="460">
        <f>AX14</f>
        <v>2683.23</v>
      </c>
      <c r="BK14" s="177">
        <f>AY14</f>
        <v>24.06</v>
      </c>
      <c r="BL14" s="649">
        <f>AZ14</f>
        <v>64558.513800000001</v>
      </c>
      <c r="BM14" s="650"/>
      <c r="BN14" s="177">
        <f>BB14</f>
        <v>115.04</v>
      </c>
      <c r="BO14" s="602">
        <f>BC14</f>
        <v>308678.77919999999</v>
      </c>
      <c r="BP14" s="177">
        <f>BD14</f>
        <v>-0.56000000000000005</v>
      </c>
      <c r="BQ14" s="602">
        <f>BE14</f>
        <v>-1502.6088000000002</v>
      </c>
      <c r="BR14" s="651">
        <f>BF14</f>
        <v>0</v>
      </c>
      <c r="BS14" s="652"/>
      <c r="BU14" s="82" t="s">
        <v>97</v>
      </c>
      <c r="BV14" s="460">
        <f>BJ14</f>
        <v>2683.23</v>
      </c>
      <c r="BW14" s="460">
        <f>BK14</f>
        <v>24.06</v>
      </c>
      <c r="BX14" s="649">
        <f>BL14</f>
        <v>64558.513800000001</v>
      </c>
      <c r="BY14" s="650"/>
      <c r="BZ14" s="460">
        <f>BN14</f>
        <v>115.04</v>
      </c>
      <c r="CA14" s="602">
        <f>BO14</f>
        <v>308678.77919999999</v>
      </c>
      <c r="CB14" s="460">
        <f>BP14</f>
        <v>-0.56000000000000005</v>
      </c>
      <c r="CC14" s="602">
        <f>BQ14</f>
        <v>-1502.6088000000002</v>
      </c>
      <c r="CD14" s="651">
        <f>BR14</f>
        <v>0</v>
      </c>
      <c r="CE14" s="652"/>
      <c r="CG14" s="82" t="s">
        <v>97</v>
      </c>
      <c r="CH14" s="460">
        <f>BV14</f>
        <v>2683.23</v>
      </c>
      <c r="CI14" s="177">
        <f>BW14</f>
        <v>24.06</v>
      </c>
      <c r="CJ14" s="649">
        <f>BX14</f>
        <v>64558.513800000001</v>
      </c>
      <c r="CK14" s="650"/>
      <c r="CL14" s="177">
        <f>BZ14</f>
        <v>115.04</v>
      </c>
      <c r="CM14" s="602">
        <f>CA14</f>
        <v>308678.77919999999</v>
      </c>
      <c r="CN14" s="177">
        <f>CB14</f>
        <v>-0.56000000000000005</v>
      </c>
      <c r="CO14" s="602">
        <f>CC14</f>
        <v>-1502.6088000000002</v>
      </c>
      <c r="CP14" s="669">
        <f>CD14</f>
        <v>0</v>
      </c>
      <c r="CQ14" s="670"/>
    </row>
    <row r="15" spans="1:95" ht="16.5" thickBot="1">
      <c r="A15" s="83" t="s">
        <v>98</v>
      </c>
      <c r="B15" s="138"/>
      <c r="C15" s="138"/>
      <c r="D15" s="671"/>
      <c r="E15" s="672"/>
      <c r="F15" s="138"/>
      <c r="G15" s="138"/>
      <c r="H15" s="138"/>
      <c r="I15" s="138"/>
      <c r="J15" s="671"/>
      <c r="K15" s="672"/>
      <c r="M15" s="83" t="s">
        <v>98</v>
      </c>
      <c r="N15" s="462">
        <f>SUM(N13:N14)</f>
        <v>2683.23</v>
      </c>
      <c r="O15" s="458">
        <f>P15/N15</f>
        <v>24.06</v>
      </c>
      <c r="P15" s="661">
        <f>SUM(P13:Q14)</f>
        <v>64558.513800000001</v>
      </c>
      <c r="Q15" s="662"/>
      <c r="R15" s="458">
        <f>S15/N15</f>
        <v>115.03999999999999</v>
      </c>
      <c r="S15" s="604">
        <f>SUM(S13:S14)</f>
        <v>308678.77919999999</v>
      </c>
      <c r="T15" s="458">
        <f>U15/N15</f>
        <v>-0.56000000000000005</v>
      </c>
      <c r="U15" s="458">
        <f>SUM(U13:U14)</f>
        <v>-1502.6088000000002</v>
      </c>
      <c r="V15" s="663">
        <f>SUM(V13:W14)</f>
        <v>0</v>
      </c>
      <c r="W15" s="664"/>
      <c r="Y15" s="83" t="s">
        <v>98</v>
      </c>
      <c r="Z15" s="462">
        <f>SUM(Z13:Z14)</f>
        <v>3872.5</v>
      </c>
      <c r="AA15" s="458">
        <f>AB15/Z15</f>
        <v>20.79317471917366</v>
      </c>
      <c r="AB15" s="661">
        <f>SUM(AB13:AC14)</f>
        <v>80521.569099999993</v>
      </c>
      <c r="AC15" s="662"/>
      <c r="AD15" s="458">
        <f>AE15/Z15</f>
        <v>121.24934569399613</v>
      </c>
      <c r="AE15" s="604">
        <f>SUM(AE13:AE14)</f>
        <v>469538.09120000002</v>
      </c>
      <c r="AF15" s="458">
        <f>AG15/Z15</f>
        <v>-5.0685784377017436E-2</v>
      </c>
      <c r="AG15" s="604">
        <f>SUM(AG13:AG14)</f>
        <v>-196.28070000000002</v>
      </c>
      <c r="AH15" s="663">
        <f>SUM(AH13:AI14)</f>
        <v>4345.1900000000005</v>
      </c>
      <c r="AI15" s="664"/>
      <c r="AK15" s="83" t="s">
        <v>98</v>
      </c>
      <c r="AL15" s="462">
        <f>SUM(AL13:AL14)</f>
        <v>3949.32</v>
      </c>
      <c r="AM15" s="462">
        <f>AN15/AL15</f>
        <v>21.250416552722999</v>
      </c>
      <c r="AN15" s="661">
        <f>SUM(AN13:AO14)</f>
        <v>83924.695099999997</v>
      </c>
      <c r="AO15" s="662"/>
      <c r="AP15" s="462">
        <f>AQ15/AL15</f>
        <v>120.82726195902079</v>
      </c>
      <c r="AQ15" s="604">
        <f>SUM(AQ13:AQ14)</f>
        <v>477185.52220000001</v>
      </c>
      <c r="AR15" s="462">
        <f>AS15/AL15</f>
        <v>-6.1565256803702936E-2</v>
      </c>
      <c r="AS15" s="604">
        <f>SUM(AS13:AS14)</f>
        <v>-243.1409000000001</v>
      </c>
      <c r="AT15" s="663">
        <f>SUM(AT13:AU14)</f>
        <v>4345.1900000000005</v>
      </c>
      <c r="AU15" s="664"/>
      <c r="AW15" s="83" t="s">
        <v>98</v>
      </c>
      <c r="AX15" s="462">
        <f>SUM(AX13:AX14)</f>
        <v>3756.0699999999997</v>
      </c>
      <c r="AY15" s="458">
        <f>AZ15/AX15</f>
        <v>20.758924514186372</v>
      </c>
      <c r="AZ15" s="661">
        <f>SUM(AZ13:BA14)</f>
        <v>77971.973599999998</v>
      </c>
      <c r="BA15" s="662"/>
      <c r="BB15" s="458">
        <f>BC15/AX15</f>
        <v>123.28240248451176</v>
      </c>
      <c r="BC15" s="604">
        <f>SUM(BC13:BC14)</f>
        <v>463057.33350000007</v>
      </c>
      <c r="BD15" s="458">
        <f>BE15/AX15</f>
        <v>4.3468944934466097E-2</v>
      </c>
      <c r="BE15" s="604">
        <f>SUM(BE13:BE14)</f>
        <v>163.27240000000006</v>
      </c>
      <c r="BF15" s="659">
        <f>SUM(BF13:BG14)</f>
        <v>3871.83</v>
      </c>
      <c r="BG15" s="660"/>
      <c r="BI15" s="83" t="s">
        <v>98</v>
      </c>
      <c r="BJ15" s="462">
        <f>SUM(BJ13:BJ14)</f>
        <v>3832.89</v>
      </c>
      <c r="BK15" s="458">
        <f>BL15/BJ15</f>
        <v>21.230742233667026</v>
      </c>
      <c r="BL15" s="661">
        <f>SUM(BL13:BM14)</f>
        <v>81375.099600000001</v>
      </c>
      <c r="BM15" s="662"/>
      <c r="BN15" s="458">
        <f>BO15/BJ15</f>
        <v>122.80675012849314</v>
      </c>
      <c r="BO15" s="604">
        <f>SUM(BO13:BO14)</f>
        <v>470704.76450000005</v>
      </c>
      <c r="BP15" s="458">
        <f>BQ15/BJ15</f>
        <v>3.0371912577715508E-2</v>
      </c>
      <c r="BQ15" s="604">
        <f>SUM(BQ13:BQ14)</f>
        <v>116.41219999999998</v>
      </c>
      <c r="BR15" s="663">
        <f>SUM(BR13:BS14)</f>
        <v>3871.83</v>
      </c>
      <c r="BS15" s="664"/>
      <c r="BU15" s="83" t="s">
        <v>98</v>
      </c>
      <c r="BV15" s="462">
        <f>SUM(BV13:BV14)</f>
        <v>3583.86</v>
      </c>
      <c r="BW15" s="462">
        <f>BX15/BV15</f>
        <v>21.01926866562868</v>
      </c>
      <c r="BX15" s="661">
        <f>SUM(BX13:BY14)</f>
        <v>75330.116200000004</v>
      </c>
      <c r="BY15" s="662"/>
      <c r="BZ15" s="462">
        <f>CA15/BV15</f>
        <v>120.58889058166334</v>
      </c>
      <c r="CA15" s="604">
        <f>SUM(CA13:CA14)</f>
        <v>432173.70139999996</v>
      </c>
      <c r="CB15" s="462">
        <f>CC15/BV15</f>
        <v>4.4411360934857869E-2</v>
      </c>
      <c r="CC15" s="604">
        <f>SUM(CC13:CC14)</f>
        <v>159.16409999999973</v>
      </c>
      <c r="CD15" s="663">
        <f>SUM(CD13:CE14)</f>
        <v>3681.11</v>
      </c>
      <c r="CE15" s="664"/>
      <c r="CG15" s="83" t="s">
        <v>98</v>
      </c>
      <c r="CH15" s="462">
        <f>SUM(CH13:CH14)</f>
        <v>3660.6800000000003</v>
      </c>
      <c r="CI15" s="458">
        <f>CJ15/CH15</f>
        <v>21.507818820547001</v>
      </c>
      <c r="CJ15" s="661">
        <f>SUM(CJ13:CK14)</f>
        <v>78733.242200000008</v>
      </c>
      <c r="CK15" s="662"/>
      <c r="CL15" s="458">
        <f>CM15/CH15</f>
        <v>120.14738584088201</v>
      </c>
      <c r="CM15" s="604">
        <f>SUM(CM13:CM14)</f>
        <v>439821.1324</v>
      </c>
      <c r="CN15" s="458">
        <f>CO15/CH15</f>
        <v>3.0678425866232407E-2</v>
      </c>
      <c r="CO15" s="604">
        <f>SUM(CO13:CO14)</f>
        <v>112.30389999999966</v>
      </c>
      <c r="CP15" s="665">
        <f>SUM(CP13:CQ14)</f>
        <v>3681.11</v>
      </c>
      <c r="CQ15" s="666"/>
    </row>
    <row r="16" spans="1:95" ht="16.5" thickTop="1">
      <c r="A16" s="84" t="s">
        <v>44</v>
      </c>
      <c r="B16" s="85"/>
      <c r="C16" s="85"/>
      <c r="D16" s="85"/>
      <c r="E16" s="85"/>
      <c r="F16" s="85"/>
      <c r="G16" s="85"/>
      <c r="H16" s="85"/>
      <c r="I16" s="106"/>
      <c r="J16" s="107"/>
      <c r="K16" s="103"/>
      <c r="M16" s="84" t="s">
        <v>44</v>
      </c>
      <c r="N16" s="85"/>
      <c r="O16" s="85"/>
      <c r="P16" s="85"/>
      <c r="Q16" s="85"/>
      <c r="R16" s="85"/>
      <c r="S16" s="85"/>
      <c r="T16" s="85"/>
      <c r="U16" s="106"/>
      <c r="V16" s="107"/>
      <c r="W16" s="103"/>
      <c r="Y16" s="84" t="s">
        <v>44</v>
      </c>
      <c r="Z16" s="85"/>
      <c r="AA16" s="85"/>
      <c r="AB16" s="85"/>
      <c r="AC16" s="85"/>
      <c r="AD16" s="85"/>
      <c r="AE16" s="85"/>
      <c r="AF16" s="85"/>
      <c r="AG16" s="106"/>
      <c r="AH16" s="107"/>
      <c r="AI16" s="103"/>
      <c r="AK16" s="84" t="s">
        <v>44</v>
      </c>
      <c r="AL16" s="85"/>
      <c r="AM16" s="85"/>
      <c r="AN16" s="85"/>
      <c r="AO16" s="85"/>
      <c r="AP16" s="85"/>
      <c r="AQ16" s="85"/>
      <c r="AR16" s="85"/>
      <c r="AS16" s="106"/>
      <c r="AT16" s="107"/>
      <c r="AU16" s="103"/>
      <c r="AW16" s="84" t="s">
        <v>44</v>
      </c>
      <c r="AX16" s="85"/>
      <c r="AY16" s="85"/>
      <c r="AZ16" s="85"/>
      <c r="BA16" s="85"/>
      <c r="BB16" s="85"/>
      <c r="BC16" s="85"/>
      <c r="BD16" s="85"/>
      <c r="BE16" s="106"/>
      <c r="BF16" s="107"/>
      <c r="BG16" s="103"/>
      <c r="BI16" s="84" t="s">
        <v>44</v>
      </c>
      <c r="BJ16" s="85"/>
      <c r="BK16" s="85"/>
      <c r="BL16" s="85"/>
      <c r="BM16" s="85"/>
      <c r="BN16" s="85"/>
      <c r="BO16" s="85"/>
      <c r="BP16" s="85"/>
      <c r="BQ16" s="106"/>
      <c r="BR16" s="107"/>
      <c r="BS16" s="103"/>
      <c r="BU16" s="84" t="s">
        <v>44</v>
      </c>
      <c r="BV16" s="85"/>
      <c r="BW16" s="85"/>
      <c r="BX16" s="85"/>
      <c r="BY16" s="85"/>
      <c r="BZ16" s="85"/>
      <c r="CA16" s="85"/>
      <c r="CB16" s="85"/>
      <c r="CC16" s="106"/>
      <c r="CD16" s="107"/>
      <c r="CE16" s="103"/>
      <c r="CG16" s="84" t="s">
        <v>44</v>
      </c>
      <c r="CH16" s="85"/>
      <c r="CI16" s="85"/>
      <c r="CJ16" s="85"/>
      <c r="CK16" s="85"/>
      <c r="CL16" s="85"/>
      <c r="CM16" s="85"/>
      <c r="CN16" s="85"/>
      <c r="CO16" s="106"/>
      <c r="CP16" s="107"/>
      <c r="CQ16" s="103"/>
    </row>
    <row r="17" spans="1:95">
      <c r="A17" s="86" t="s">
        <v>130</v>
      </c>
      <c r="B17" s="87" t="s">
        <v>99</v>
      </c>
      <c r="C17" s="88" t="s">
        <v>128</v>
      </c>
      <c r="D17" s="105"/>
      <c r="E17" s="106"/>
      <c r="F17" s="89"/>
      <c r="G17" s="89"/>
      <c r="H17" s="89"/>
      <c r="I17" s="202"/>
      <c r="J17" s="90" t="s">
        <v>425</v>
      </c>
      <c r="K17" s="103"/>
      <c r="M17" s="86" t="s">
        <v>130</v>
      </c>
      <c r="N17" s="87" t="s">
        <v>99</v>
      </c>
      <c r="O17" s="88" t="s">
        <v>128</v>
      </c>
      <c r="P17" s="105"/>
      <c r="Q17" s="106"/>
      <c r="R17" s="89"/>
      <c r="S17" s="89"/>
      <c r="T17" s="89"/>
      <c r="U17" s="202">
        <f>N15</f>
        <v>2683.23</v>
      </c>
      <c r="V17" s="90" t="s">
        <v>425</v>
      </c>
      <c r="W17" s="103"/>
      <c r="Y17" s="86" t="s">
        <v>130</v>
      </c>
      <c r="Z17" s="87" t="s">
        <v>99</v>
      </c>
      <c r="AA17" s="88" t="s">
        <v>128</v>
      </c>
      <c r="AB17" s="105"/>
      <c r="AC17" s="106"/>
      <c r="AD17" s="89"/>
      <c r="AE17" s="89"/>
      <c r="AF17" s="89"/>
      <c r="AG17" s="202">
        <f>Z15</f>
        <v>3872.5</v>
      </c>
      <c r="AH17" s="90" t="s">
        <v>425</v>
      </c>
      <c r="AI17" s="103"/>
      <c r="AK17" s="86" t="s">
        <v>130</v>
      </c>
      <c r="AL17" s="87" t="s">
        <v>99</v>
      </c>
      <c r="AM17" s="88" t="s">
        <v>128</v>
      </c>
      <c r="AN17" s="105"/>
      <c r="AO17" s="106"/>
      <c r="AP17" s="89"/>
      <c r="AQ17" s="89"/>
      <c r="AR17" s="89"/>
      <c r="AS17" s="202">
        <f>AL15</f>
        <v>3949.32</v>
      </c>
      <c r="AT17" s="90" t="s">
        <v>425</v>
      </c>
      <c r="AU17" s="103"/>
      <c r="AW17" s="86" t="s">
        <v>130</v>
      </c>
      <c r="AX17" s="87" t="s">
        <v>99</v>
      </c>
      <c r="AY17" s="88" t="s">
        <v>128</v>
      </c>
      <c r="AZ17" s="105"/>
      <c r="BA17" s="106"/>
      <c r="BB17" s="89"/>
      <c r="BC17" s="89"/>
      <c r="BD17" s="89"/>
      <c r="BE17" s="202">
        <f>AX15</f>
        <v>3756.0699999999997</v>
      </c>
      <c r="BF17" s="90" t="s">
        <v>425</v>
      </c>
      <c r="BG17" s="103"/>
      <c r="BI17" s="86" t="s">
        <v>130</v>
      </c>
      <c r="BJ17" s="87" t="s">
        <v>99</v>
      </c>
      <c r="BK17" s="88" t="s">
        <v>128</v>
      </c>
      <c r="BL17" s="105"/>
      <c r="BM17" s="106"/>
      <c r="BN17" s="89"/>
      <c r="BO17" s="89"/>
      <c r="BP17" s="89"/>
      <c r="BQ17" s="202">
        <f>BJ15</f>
        <v>3832.89</v>
      </c>
      <c r="BR17" s="90" t="s">
        <v>425</v>
      </c>
      <c r="BS17" s="103"/>
      <c r="BU17" s="86" t="s">
        <v>130</v>
      </c>
      <c r="BV17" s="87" t="s">
        <v>99</v>
      </c>
      <c r="BW17" s="88" t="s">
        <v>128</v>
      </c>
      <c r="BX17" s="105"/>
      <c r="BY17" s="106"/>
      <c r="BZ17" s="89"/>
      <c r="CA17" s="89"/>
      <c r="CB17" s="89"/>
      <c r="CC17" s="202">
        <f>BV15</f>
        <v>3583.86</v>
      </c>
      <c r="CD17" s="90" t="s">
        <v>425</v>
      </c>
      <c r="CE17" s="103"/>
      <c r="CG17" s="86" t="s">
        <v>130</v>
      </c>
      <c r="CH17" s="87" t="s">
        <v>99</v>
      </c>
      <c r="CI17" s="88" t="s">
        <v>128</v>
      </c>
      <c r="CJ17" s="105"/>
      <c r="CK17" s="106"/>
      <c r="CL17" s="89"/>
      <c r="CM17" s="89"/>
      <c r="CN17" s="89"/>
      <c r="CO17" s="202">
        <f>CH15</f>
        <v>3660.6800000000003</v>
      </c>
      <c r="CP17" s="90" t="s">
        <v>425</v>
      </c>
      <c r="CQ17" s="103"/>
    </row>
    <row r="18" spans="1:95">
      <c r="A18" s="86" t="s">
        <v>100</v>
      </c>
      <c r="B18" s="87" t="s">
        <v>101</v>
      </c>
      <c r="C18" s="88" t="s">
        <v>583</v>
      </c>
      <c r="D18" s="105"/>
      <c r="E18" s="106"/>
      <c r="F18" s="89"/>
      <c r="G18" s="89"/>
      <c r="H18" s="89"/>
      <c r="I18" s="203"/>
      <c r="J18" s="90" t="s">
        <v>262</v>
      </c>
      <c r="K18" s="103"/>
      <c r="M18" s="86" t="s">
        <v>100</v>
      </c>
      <c r="N18" s="87" t="s">
        <v>101</v>
      </c>
      <c r="O18" s="88" t="s">
        <v>583</v>
      </c>
      <c r="P18" s="105"/>
      <c r="Q18" s="106"/>
      <c r="R18" s="89"/>
      <c r="S18" s="89"/>
      <c r="T18" s="89"/>
      <c r="U18" s="203">
        <v>14.615</v>
      </c>
      <c r="V18" s="90" t="s">
        <v>262</v>
      </c>
      <c r="W18" s="103"/>
      <c r="Y18" s="86" t="s">
        <v>100</v>
      </c>
      <c r="Z18" s="87" t="s">
        <v>101</v>
      </c>
      <c r="AA18" s="88" t="s">
        <v>583</v>
      </c>
      <c r="AB18" s="105"/>
      <c r="AC18" s="106"/>
      <c r="AD18" s="89"/>
      <c r="AE18" s="89"/>
      <c r="AF18" s="89"/>
      <c r="AG18" s="611">
        <v>18.847000000000001</v>
      </c>
      <c r="AH18" s="90" t="s">
        <v>262</v>
      </c>
      <c r="AI18" s="103"/>
      <c r="AK18" s="86" t="s">
        <v>100</v>
      </c>
      <c r="AL18" s="87" t="s">
        <v>101</v>
      </c>
      <c r="AM18" s="88" t="s">
        <v>583</v>
      </c>
      <c r="AN18" s="105"/>
      <c r="AO18" s="106"/>
      <c r="AP18" s="89"/>
      <c r="AQ18" s="89"/>
      <c r="AR18" s="89"/>
      <c r="AS18" s="203">
        <v>19.108087999999999</v>
      </c>
      <c r="AT18" s="90" t="s">
        <v>262</v>
      </c>
      <c r="AU18" s="103"/>
      <c r="AW18" s="86" t="s">
        <v>100</v>
      </c>
      <c r="AX18" s="87" t="s">
        <v>101</v>
      </c>
      <c r="AY18" s="88" t="s">
        <v>583</v>
      </c>
      <c r="AZ18" s="105"/>
      <c r="BA18" s="106"/>
      <c r="BB18" s="89"/>
      <c r="BC18" s="89"/>
      <c r="BD18" s="89"/>
      <c r="BE18" s="203">
        <v>18.4495</v>
      </c>
      <c r="BF18" s="90" t="s">
        <v>262</v>
      </c>
      <c r="BG18" s="103"/>
      <c r="BI18" s="86" t="s">
        <v>100</v>
      </c>
      <c r="BJ18" s="87" t="s">
        <v>101</v>
      </c>
      <c r="BK18" s="88" t="s">
        <v>583</v>
      </c>
      <c r="BL18" s="105"/>
      <c r="BM18" s="106"/>
      <c r="BN18" s="89"/>
      <c r="BO18" s="89"/>
      <c r="BP18" s="89"/>
      <c r="BQ18" s="203">
        <v>18.712399999999999</v>
      </c>
      <c r="BR18" s="90" t="s">
        <v>262</v>
      </c>
      <c r="BS18" s="103"/>
      <c r="BU18" s="86" t="s">
        <v>100</v>
      </c>
      <c r="BV18" s="87" t="s">
        <v>101</v>
      </c>
      <c r="BW18" s="88" t="s">
        <v>583</v>
      </c>
      <c r="BX18" s="105"/>
      <c r="BY18" s="106"/>
      <c r="BZ18" s="89"/>
      <c r="CA18" s="89"/>
      <c r="CB18" s="89"/>
      <c r="CC18" s="203">
        <v>17.855</v>
      </c>
      <c r="CD18" s="90" t="s">
        <v>262</v>
      </c>
      <c r="CE18" s="103"/>
      <c r="CG18" s="86" t="s">
        <v>100</v>
      </c>
      <c r="CH18" s="87" t="s">
        <v>101</v>
      </c>
      <c r="CI18" s="88" t="s">
        <v>583</v>
      </c>
      <c r="CJ18" s="105"/>
      <c r="CK18" s="106"/>
      <c r="CL18" s="89"/>
      <c r="CM18" s="89"/>
      <c r="CN18" s="89"/>
      <c r="CO18" s="203">
        <v>18.121099999999998</v>
      </c>
      <c r="CP18" s="90" t="s">
        <v>262</v>
      </c>
      <c r="CQ18" s="103"/>
    </row>
    <row r="19" spans="1:95">
      <c r="A19" s="86" t="s">
        <v>102</v>
      </c>
      <c r="B19" s="87" t="s">
        <v>103</v>
      </c>
      <c r="C19" s="88" t="s">
        <v>583</v>
      </c>
      <c r="D19" s="105"/>
      <c r="E19" s="106"/>
      <c r="F19" s="106"/>
      <c r="G19" s="106"/>
      <c r="H19" s="106"/>
      <c r="I19" s="203"/>
      <c r="J19" s="90" t="s">
        <v>262</v>
      </c>
      <c r="K19" s="103"/>
      <c r="M19" s="86" t="s">
        <v>102</v>
      </c>
      <c r="N19" s="87" t="s">
        <v>103</v>
      </c>
      <c r="O19" s="88" t="s">
        <v>583</v>
      </c>
      <c r="P19" s="105"/>
      <c r="Q19" s="106"/>
      <c r="R19" s="106"/>
      <c r="S19" s="106"/>
      <c r="T19" s="106"/>
      <c r="U19" s="203">
        <v>119.038</v>
      </c>
      <c r="V19" s="90" t="s">
        <v>262</v>
      </c>
      <c r="W19" s="103"/>
      <c r="Y19" s="86" t="s">
        <v>102</v>
      </c>
      <c r="Z19" s="87" t="s">
        <v>103</v>
      </c>
      <c r="AA19" s="88" t="s">
        <v>583</v>
      </c>
      <c r="AB19" s="105"/>
      <c r="AC19" s="106"/>
      <c r="AD19" s="106"/>
      <c r="AE19" s="106"/>
      <c r="AF19" s="106"/>
      <c r="AG19" s="611">
        <v>120.63185</v>
      </c>
      <c r="AH19" s="90" t="s">
        <v>262</v>
      </c>
      <c r="AI19" s="103"/>
      <c r="AK19" s="86" t="s">
        <v>102</v>
      </c>
      <c r="AL19" s="87" t="s">
        <v>103</v>
      </c>
      <c r="AM19" s="88" t="s">
        <v>583</v>
      </c>
      <c r="AN19" s="105"/>
      <c r="AO19" s="106"/>
      <c r="AP19" s="106"/>
      <c r="AQ19" s="106"/>
      <c r="AR19" s="106"/>
      <c r="AS19" s="203">
        <v>120.69</v>
      </c>
      <c r="AT19" s="90" t="s">
        <v>262</v>
      </c>
      <c r="AU19" s="103"/>
      <c r="AW19" s="86" t="s">
        <v>102</v>
      </c>
      <c r="AX19" s="87" t="s">
        <v>103</v>
      </c>
      <c r="AY19" s="88" t="s">
        <v>583</v>
      </c>
      <c r="AZ19" s="105"/>
      <c r="BA19" s="106"/>
      <c r="BB19" s="106"/>
      <c r="BC19" s="106"/>
      <c r="BD19" s="106"/>
      <c r="BE19" s="203">
        <v>120.5424</v>
      </c>
      <c r="BF19" s="90" t="s">
        <v>262</v>
      </c>
      <c r="BG19" s="103"/>
      <c r="BI19" s="86" t="s">
        <v>102</v>
      </c>
      <c r="BJ19" s="87" t="s">
        <v>103</v>
      </c>
      <c r="BK19" s="88" t="s">
        <v>583</v>
      </c>
      <c r="BL19" s="105"/>
      <c r="BM19" s="106"/>
      <c r="BN19" s="106"/>
      <c r="BO19" s="106"/>
      <c r="BP19" s="106"/>
      <c r="BQ19" s="203">
        <v>120.6024</v>
      </c>
      <c r="BR19" s="90" t="s">
        <v>262</v>
      </c>
      <c r="BS19" s="103"/>
      <c r="BU19" s="86" t="s">
        <v>102</v>
      </c>
      <c r="BV19" s="87" t="s">
        <v>103</v>
      </c>
      <c r="BW19" s="88" t="s">
        <v>583</v>
      </c>
      <c r="BX19" s="105"/>
      <c r="BY19" s="106"/>
      <c r="BZ19" s="106"/>
      <c r="CA19" s="106"/>
      <c r="CB19" s="106"/>
      <c r="CC19" s="203">
        <v>120.42</v>
      </c>
      <c r="CD19" s="90" t="s">
        <v>262</v>
      </c>
      <c r="CE19" s="103"/>
      <c r="CG19" s="86" t="s">
        <v>102</v>
      </c>
      <c r="CH19" s="87" t="s">
        <v>103</v>
      </c>
      <c r="CI19" s="88" t="s">
        <v>583</v>
      </c>
      <c r="CJ19" s="105"/>
      <c r="CK19" s="106"/>
      <c r="CL19" s="106"/>
      <c r="CM19" s="106"/>
      <c r="CN19" s="106"/>
      <c r="CO19" s="203">
        <v>120.4563</v>
      </c>
      <c r="CP19" s="90" t="s">
        <v>262</v>
      </c>
      <c r="CQ19" s="103"/>
    </row>
    <row r="20" spans="1:95">
      <c r="A20" s="86" t="s">
        <v>104</v>
      </c>
      <c r="B20" s="87" t="s">
        <v>105</v>
      </c>
      <c r="C20" s="88" t="s">
        <v>191</v>
      </c>
      <c r="D20" s="105"/>
      <c r="E20" s="106"/>
      <c r="F20" s="106"/>
      <c r="G20" s="106"/>
      <c r="H20" s="106"/>
      <c r="I20" s="203"/>
      <c r="J20" s="90" t="s">
        <v>262</v>
      </c>
      <c r="K20" s="103"/>
      <c r="M20" s="86" t="s">
        <v>104</v>
      </c>
      <c r="N20" s="87" t="s">
        <v>105</v>
      </c>
      <c r="O20" s="88" t="s">
        <v>191</v>
      </c>
      <c r="P20" s="105"/>
      <c r="Q20" s="106"/>
      <c r="R20" s="106"/>
      <c r="S20" s="106"/>
      <c r="T20" s="106"/>
      <c r="U20" s="203">
        <f>R15-U19</f>
        <v>-3.9980000000000047</v>
      </c>
      <c r="V20" s="90" t="s">
        <v>262</v>
      </c>
      <c r="W20" s="103"/>
      <c r="Y20" s="86" t="s">
        <v>104</v>
      </c>
      <c r="Z20" s="87" t="s">
        <v>105</v>
      </c>
      <c r="AA20" s="88" t="s">
        <v>191</v>
      </c>
      <c r="AB20" s="105"/>
      <c r="AC20" s="106"/>
      <c r="AD20" s="106"/>
      <c r="AE20" s="106"/>
      <c r="AF20" s="106"/>
      <c r="AG20" s="203">
        <f>AD15-AG19</f>
        <v>0.61749569399613335</v>
      </c>
      <c r="AH20" s="90" t="s">
        <v>262</v>
      </c>
      <c r="AI20" s="103"/>
      <c r="AK20" s="86" t="s">
        <v>104</v>
      </c>
      <c r="AL20" s="87" t="s">
        <v>105</v>
      </c>
      <c r="AM20" s="88" t="s">
        <v>191</v>
      </c>
      <c r="AN20" s="105"/>
      <c r="AO20" s="106"/>
      <c r="AP20" s="106"/>
      <c r="AQ20" s="106"/>
      <c r="AR20" s="106"/>
      <c r="AS20" s="203">
        <f>AP15-AS19</f>
        <v>0.13726195902079041</v>
      </c>
      <c r="AT20" s="90" t="s">
        <v>262</v>
      </c>
      <c r="AU20" s="103"/>
      <c r="AW20" s="86" t="s">
        <v>104</v>
      </c>
      <c r="AX20" s="87" t="s">
        <v>105</v>
      </c>
      <c r="AY20" s="88" t="s">
        <v>191</v>
      </c>
      <c r="AZ20" s="105"/>
      <c r="BA20" s="106"/>
      <c r="BB20" s="106"/>
      <c r="BC20" s="106"/>
      <c r="BD20" s="106"/>
      <c r="BE20" s="203">
        <f>BB15-BE19</f>
        <v>2.7400024845117628</v>
      </c>
      <c r="BF20" s="90" t="s">
        <v>262</v>
      </c>
      <c r="BG20" s="103"/>
      <c r="BI20" s="86" t="s">
        <v>104</v>
      </c>
      <c r="BJ20" s="87" t="s">
        <v>105</v>
      </c>
      <c r="BK20" s="88" t="s">
        <v>191</v>
      </c>
      <c r="BL20" s="105"/>
      <c r="BM20" s="106"/>
      <c r="BN20" s="106"/>
      <c r="BO20" s="106"/>
      <c r="BP20" s="106"/>
      <c r="BQ20" s="203">
        <f>BN15-BQ19</f>
        <v>2.2043501284931324</v>
      </c>
      <c r="BR20" s="90" t="s">
        <v>262</v>
      </c>
      <c r="BS20" s="103"/>
      <c r="BU20" s="86" t="s">
        <v>104</v>
      </c>
      <c r="BV20" s="87" t="s">
        <v>105</v>
      </c>
      <c r="BW20" s="88" t="s">
        <v>191</v>
      </c>
      <c r="BX20" s="105"/>
      <c r="BY20" s="106"/>
      <c r="BZ20" s="106"/>
      <c r="CA20" s="106"/>
      <c r="CB20" s="106"/>
      <c r="CC20" s="203">
        <f>BZ15-CC19</f>
        <v>0.16889058166333371</v>
      </c>
      <c r="CD20" s="90" t="s">
        <v>262</v>
      </c>
      <c r="CE20" s="103"/>
      <c r="CG20" s="86" t="s">
        <v>104</v>
      </c>
      <c r="CH20" s="87" t="s">
        <v>105</v>
      </c>
      <c r="CI20" s="88" t="s">
        <v>191</v>
      </c>
      <c r="CJ20" s="105"/>
      <c r="CK20" s="106"/>
      <c r="CL20" s="106"/>
      <c r="CM20" s="106"/>
      <c r="CN20" s="106"/>
      <c r="CO20" s="203">
        <f>CL15-CO19</f>
        <v>-0.30891415911798958</v>
      </c>
      <c r="CP20" s="90" t="s">
        <v>262</v>
      </c>
      <c r="CQ20" s="103"/>
    </row>
    <row r="21" spans="1:95">
      <c r="A21" s="86" t="s">
        <v>106</v>
      </c>
      <c r="B21" s="87" t="s">
        <v>107</v>
      </c>
      <c r="C21" s="88" t="s">
        <v>584</v>
      </c>
      <c r="D21" s="105"/>
      <c r="E21" s="106"/>
      <c r="F21" s="106"/>
      <c r="G21" s="106"/>
      <c r="H21" s="106"/>
      <c r="I21" s="203"/>
      <c r="J21" s="90" t="s">
        <v>262</v>
      </c>
      <c r="K21" s="103"/>
      <c r="M21" s="86" t="s">
        <v>106</v>
      </c>
      <c r="N21" s="87" t="s">
        <v>107</v>
      </c>
      <c r="O21" s="88" t="s">
        <v>584</v>
      </c>
      <c r="P21" s="105"/>
      <c r="Q21" s="106"/>
      <c r="R21" s="106"/>
      <c r="S21" s="106"/>
      <c r="T21" s="106"/>
      <c r="U21" s="203">
        <v>335.17</v>
      </c>
      <c r="V21" s="90" t="s">
        <v>262</v>
      </c>
      <c r="W21" s="103"/>
      <c r="Y21" s="86" t="s">
        <v>106</v>
      </c>
      <c r="Z21" s="87" t="s">
        <v>107</v>
      </c>
      <c r="AA21" s="88" t="s">
        <v>584</v>
      </c>
      <c r="AB21" s="105"/>
      <c r="AC21" s="106"/>
      <c r="AD21" s="106"/>
      <c r="AE21" s="106"/>
      <c r="AF21" s="106"/>
      <c r="AG21" s="611">
        <v>302.58658800000001</v>
      </c>
      <c r="AH21" s="90" t="s">
        <v>262</v>
      </c>
      <c r="AI21" s="103"/>
      <c r="AK21" s="86" t="s">
        <v>106</v>
      </c>
      <c r="AL21" s="87" t="s">
        <v>107</v>
      </c>
      <c r="AM21" s="88" t="s">
        <v>584</v>
      </c>
      <c r="AN21" s="105"/>
      <c r="AO21" s="106"/>
      <c r="AP21" s="106"/>
      <c r="AQ21" s="106"/>
      <c r="AR21" s="106"/>
      <c r="AS21" s="203">
        <v>301.35000000000002</v>
      </c>
      <c r="AT21" s="90" t="s">
        <v>262</v>
      </c>
      <c r="AU21" s="103"/>
      <c r="AW21" s="86" t="s">
        <v>106</v>
      </c>
      <c r="AX21" s="87" t="s">
        <v>107</v>
      </c>
      <c r="AY21" s="88" t="s">
        <v>584</v>
      </c>
      <c r="AZ21" s="105"/>
      <c r="BA21" s="106"/>
      <c r="BB21" s="106"/>
      <c r="BC21" s="106"/>
      <c r="BD21" s="106"/>
      <c r="BE21" s="203">
        <v>304.82749999999999</v>
      </c>
      <c r="BF21" s="90" t="s">
        <v>262</v>
      </c>
      <c r="BG21" s="103"/>
      <c r="BI21" s="86" t="s">
        <v>106</v>
      </c>
      <c r="BJ21" s="87" t="s">
        <v>107</v>
      </c>
      <c r="BK21" s="88" t="s">
        <v>584</v>
      </c>
      <c r="BL21" s="105"/>
      <c r="BM21" s="106"/>
      <c r="BN21" s="106"/>
      <c r="BO21" s="106"/>
      <c r="BP21" s="106"/>
      <c r="BQ21" s="203">
        <v>303.32555000000002</v>
      </c>
      <c r="BR21" s="90" t="s">
        <v>262</v>
      </c>
      <c r="BS21" s="103"/>
      <c r="BU21" s="86" t="s">
        <v>106</v>
      </c>
      <c r="BV21" s="87" t="s">
        <v>107</v>
      </c>
      <c r="BW21" s="88" t="s">
        <v>584</v>
      </c>
      <c r="BX21" s="105"/>
      <c r="BY21" s="106"/>
      <c r="BZ21" s="106"/>
      <c r="CA21" s="106"/>
      <c r="CB21" s="106"/>
      <c r="CC21" s="203">
        <v>308.39749999999998</v>
      </c>
      <c r="CD21" s="90" t="s">
        <v>262</v>
      </c>
      <c r="CE21" s="103"/>
      <c r="CG21" s="86" t="s">
        <v>106</v>
      </c>
      <c r="CH21" s="87" t="s">
        <v>107</v>
      </c>
      <c r="CI21" s="88" t="s">
        <v>584</v>
      </c>
      <c r="CJ21" s="105"/>
      <c r="CK21" s="106"/>
      <c r="CL21" s="106"/>
      <c r="CM21" s="106"/>
      <c r="CN21" s="106"/>
      <c r="CO21" s="203">
        <v>306.81290000000001</v>
      </c>
      <c r="CP21" s="90" t="s">
        <v>262</v>
      </c>
      <c r="CQ21" s="103"/>
    </row>
    <row r="22" spans="1:95">
      <c r="A22" s="108" t="s">
        <v>108</v>
      </c>
      <c r="B22" s="87" t="s">
        <v>109</v>
      </c>
      <c r="C22" s="106"/>
      <c r="D22" s="105"/>
      <c r="E22" s="106"/>
      <c r="F22" s="106"/>
      <c r="G22" s="106"/>
      <c r="H22" s="106"/>
      <c r="I22" s="201">
        <v>239.92</v>
      </c>
      <c r="J22" s="90" t="s">
        <v>262</v>
      </c>
      <c r="K22" s="103"/>
      <c r="M22" s="108" t="s">
        <v>108</v>
      </c>
      <c r="N22" s="87" t="s">
        <v>109</v>
      </c>
      <c r="O22" s="106"/>
      <c r="P22" s="105"/>
      <c r="Q22" s="106"/>
      <c r="R22" s="106"/>
      <c r="S22" s="106"/>
      <c r="T22" s="106"/>
      <c r="U22" s="201">
        <v>239.92</v>
      </c>
      <c r="V22" s="90" t="s">
        <v>262</v>
      </c>
      <c r="W22" s="103"/>
      <c r="Y22" s="108" t="s">
        <v>108</v>
      </c>
      <c r="Z22" s="87" t="s">
        <v>109</v>
      </c>
      <c r="AA22" s="106"/>
      <c r="AB22" s="105"/>
      <c r="AC22" s="106"/>
      <c r="AD22" s="106"/>
      <c r="AE22" s="106"/>
      <c r="AF22" s="106"/>
      <c r="AG22" s="201">
        <v>239.92</v>
      </c>
      <c r="AH22" s="90" t="s">
        <v>262</v>
      </c>
      <c r="AI22" s="103"/>
      <c r="AK22" s="108" t="s">
        <v>108</v>
      </c>
      <c r="AL22" s="87" t="s">
        <v>109</v>
      </c>
      <c r="AM22" s="106"/>
      <c r="AN22" s="105"/>
      <c r="AO22" s="106"/>
      <c r="AP22" s="106"/>
      <c r="AQ22" s="106"/>
      <c r="AR22" s="106"/>
      <c r="AS22" s="201">
        <v>239.92</v>
      </c>
      <c r="AT22" s="90" t="s">
        <v>262</v>
      </c>
      <c r="AU22" s="103"/>
      <c r="AW22" s="108" t="s">
        <v>108</v>
      </c>
      <c r="AX22" s="87" t="s">
        <v>109</v>
      </c>
      <c r="AY22" s="106"/>
      <c r="AZ22" s="105"/>
      <c r="BA22" s="106"/>
      <c r="BB22" s="106"/>
      <c r="BC22" s="106"/>
      <c r="BD22" s="106"/>
      <c r="BE22" s="201">
        <v>239.92</v>
      </c>
      <c r="BF22" s="90" t="s">
        <v>262</v>
      </c>
      <c r="BG22" s="103"/>
      <c r="BI22" s="108" t="s">
        <v>108</v>
      </c>
      <c r="BJ22" s="87" t="s">
        <v>109</v>
      </c>
      <c r="BK22" s="106"/>
      <c r="BL22" s="105"/>
      <c r="BM22" s="106"/>
      <c r="BN22" s="106"/>
      <c r="BO22" s="106"/>
      <c r="BP22" s="106"/>
      <c r="BQ22" s="201">
        <v>239.92</v>
      </c>
      <c r="BR22" s="90" t="s">
        <v>262</v>
      </c>
      <c r="BS22" s="103"/>
      <c r="BU22" s="108" t="s">
        <v>108</v>
      </c>
      <c r="BV22" s="87" t="s">
        <v>109</v>
      </c>
      <c r="BW22" s="106"/>
      <c r="BX22" s="105"/>
      <c r="BY22" s="106"/>
      <c r="BZ22" s="106"/>
      <c r="CA22" s="106"/>
      <c r="CB22" s="106"/>
      <c r="CC22" s="201">
        <v>239.92</v>
      </c>
      <c r="CD22" s="90" t="s">
        <v>262</v>
      </c>
      <c r="CE22" s="103"/>
      <c r="CG22" s="108" t="s">
        <v>108</v>
      </c>
      <c r="CH22" s="87" t="s">
        <v>109</v>
      </c>
      <c r="CI22" s="106"/>
      <c r="CJ22" s="105"/>
      <c r="CK22" s="106"/>
      <c r="CL22" s="106"/>
      <c r="CM22" s="106"/>
      <c r="CN22" s="106"/>
      <c r="CO22" s="201">
        <v>239.92</v>
      </c>
      <c r="CP22" s="90" t="s">
        <v>262</v>
      </c>
      <c r="CQ22" s="103"/>
    </row>
    <row r="23" spans="1:95">
      <c r="A23" s="86" t="s">
        <v>464</v>
      </c>
      <c r="B23" s="87" t="s">
        <v>465</v>
      </c>
      <c r="C23" s="88" t="s">
        <v>433</v>
      </c>
      <c r="D23" s="105"/>
      <c r="E23" s="106"/>
      <c r="F23" s="106"/>
      <c r="G23" s="106"/>
      <c r="H23" s="106"/>
      <c r="I23" s="203"/>
      <c r="J23" s="90" t="s">
        <v>426</v>
      </c>
      <c r="K23" s="103"/>
      <c r="M23" s="86" t="s">
        <v>464</v>
      </c>
      <c r="N23" s="87" t="s">
        <v>465</v>
      </c>
      <c r="O23" s="88" t="s">
        <v>433</v>
      </c>
      <c r="P23" s="105"/>
      <c r="Q23" s="106"/>
      <c r="R23" s="106"/>
      <c r="S23" s="106"/>
      <c r="T23" s="106"/>
      <c r="U23" s="203">
        <f>(U21-O15)*U17/U22/12</f>
        <v>289.9507076317106</v>
      </c>
      <c r="V23" s="90" t="s">
        <v>426</v>
      </c>
      <c r="W23" s="103"/>
      <c r="Y23" s="86" t="s">
        <v>464</v>
      </c>
      <c r="Z23" s="87" t="s">
        <v>465</v>
      </c>
      <c r="AA23" s="88" t="s">
        <v>433</v>
      </c>
      <c r="AB23" s="105"/>
      <c r="AC23" s="106"/>
      <c r="AD23" s="106"/>
      <c r="AE23" s="106"/>
      <c r="AF23" s="106"/>
      <c r="AG23" s="203">
        <f>(AG21-AA15)*AG17/AG22/12</f>
        <v>379.03085505237868</v>
      </c>
      <c r="AH23" s="90" t="s">
        <v>426</v>
      </c>
      <c r="AI23" s="103"/>
      <c r="AK23" s="86" t="s">
        <v>464</v>
      </c>
      <c r="AL23" s="87" t="s">
        <v>465</v>
      </c>
      <c r="AM23" s="88" t="s">
        <v>433</v>
      </c>
      <c r="AN23" s="105"/>
      <c r="AO23" s="106"/>
      <c r="AP23" s="106"/>
      <c r="AQ23" s="106"/>
      <c r="AR23" s="106"/>
      <c r="AS23" s="203">
        <f>(AS21-AM15)*AS17/AS22/12</f>
        <v>384.2263000514061</v>
      </c>
      <c r="AT23" s="90" t="s">
        <v>426</v>
      </c>
      <c r="AU23" s="103"/>
      <c r="AW23" s="86" t="s">
        <v>464</v>
      </c>
      <c r="AX23" s="87" t="s">
        <v>465</v>
      </c>
      <c r="AY23" s="88" t="s">
        <v>433</v>
      </c>
      <c r="AZ23" s="105"/>
      <c r="BA23" s="106"/>
      <c r="BB23" s="106"/>
      <c r="BC23" s="106"/>
      <c r="BD23" s="106"/>
      <c r="BE23" s="203">
        <f>(BE21-AY15)*BE17/BE22/12</f>
        <v>370.60320604263916</v>
      </c>
      <c r="BF23" s="90" t="s">
        <v>426</v>
      </c>
      <c r="BG23" s="103"/>
      <c r="BI23" s="86" t="s">
        <v>464</v>
      </c>
      <c r="BJ23" s="87" t="s">
        <v>465</v>
      </c>
      <c r="BK23" s="88" t="s">
        <v>433</v>
      </c>
      <c r="BL23" s="105"/>
      <c r="BM23" s="106"/>
      <c r="BN23" s="106"/>
      <c r="BO23" s="106"/>
      <c r="BP23" s="106"/>
      <c r="BQ23" s="203">
        <f>(BQ21-BK15)*BQ17/BQ22/12</f>
        <v>375.55517385638973</v>
      </c>
      <c r="BR23" s="90" t="s">
        <v>426</v>
      </c>
      <c r="BS23" s="103"/>
      <c r="BU23" s="86" t="s">
        <v>464</v>
      </c>
      <c r="BV23" s="87" t="s">
        <v>465</v>
      </c>
      <c r="BW23" s="88" t="s">
        <v>433</v>
      </c>
      <c r="BX23" s="105"/>
      <c r="BY23" s="106"/>
      <c r="BZ23" s="106"/>
      <c r="CA23" s="106"/>
      <c r="CB23" s="106"/>
      <c r="CC23" s="203">
        <f>(CC21-BW15)*CC17/CC22/12</f>
        <v>357.7315175023619</v>
      </c>
      <c r="CD23" s="90" t="s">
        <v>426</v>
      </c>
      <c r="CE23" s="103"/>
      <c r="CG23" s="86" t="s">
        <v>464</v>
      </c>
      <c r="CH23" s="87" t="s">
        <v>465</v>
      </c>
      <c r="CI23" s="88" t="s">
        <v>433</v>
      </c>
      <c r="CJ23" s="105"/>
      <c r="CK23" s="106"/>
      <c r="CL23" s="106"/>
      <c r="CM23" s="106"/>
      <c r="CN23" s="106"/>
      <c r="CO23" s="203">
        <v>306.9119</v>
      </c>
      <c r="CP23" s="90" t="s">
        <v>426</v>
      </c>
      <c r="CQ23" s="103"/>
    </row>
    <row r="24" spans="1:95">
      <c r="A24" s="86" t="s">
        <v>110</v>
      </c>
      <c r="B24" s="87" t="s">
        <v>111</v>
      </c>
      <c r="C24" s="88" t="s">
        <v>466</v>
      </c>
      <c r="D24" s="105"/>
      <c r="E24" s="106"/>
      <c r="F24" s="106"/>
      <c r="G24" s="106"/>
      <c r="H24" s="106"/>
      <c r="I24" s="203"/>
      <c r="J24" s="90" t="s">
        <v>262</v>
      </c>
      <c r="K24" s="103"/>
      <c r="M24" s="86" t="s">
        <v>110</v>
      </c>
      <c r="N24" s="87" t="s">
        <v>111</v>
      </c>
      <c r="O24" s="88" t="s">
        <v>466</v>
      </c>
      <c r="P24" s="105"/>
      <c r="Q24" s="106"/>
      <c r="R24" s="106"/>
      <c r="S24" s="106"/>
      <c r="T24" s="106"/>
      <c r="U24" s="203">
        <f>(U17*U20)/(12*U23)</f>
        <v>-3.0831543826942274</v>
      </c>
      <c r="V24" s="90" t="s">
        <v>262</v>
      </c>
      <c r="W24" s="103"/>
      <c r="Y24" s="86" t="s">
        <v>110</v>
      </c>
      <c r="Z24" s="87" t="s">
        <v>111</v>
      </c>
      <c r="AA24" s="88" t="s">
        <v>466</v>
      </c>
      <c r="AB24" s="105"/>
      <c r="AC24" s="106"/>
      <c r="AD24" s="106"/>
      <c r="AE24" s="106"/>
      <c r="AF24" s="106"/>
      <c r="AG24" s="203">
        <f>(AG17*AG20)/(12*AG23)</f>
        <v>0.52573821786214403</v>
      </c>
      <c r="AH24" s="90" t="s">
        <v>262</v>
      </c>
      <c r="AI24" s="103"/>
      <c r="AK24" s="86" t="s">
        <v>110</v>
      </c>
      <c r="AL24" s="87" t="s">
        <v>111</v>
      </c>
      <c r="AM24" s="88" t="s">
        <v>466</v>
      </c>
      <c r="AN24" s="105"/>
      <c r="AO24" s="106"/>
      <c r="AP24" s="106"/>
      <c r="AQ24" s="106"/>
      <c r="AR24" s="106"/>
      <c r="AS24" s="203">
        <f>(AS17*AS20)/(12*AS23)</f>
        <v>0.11757207491337372</v>
      </c>
      <c r="AT24" s="90" t="s">
        <v>262</v>
      </c>
      <c r="AU24" s="103"/>
      <c r="AW24" s="86" t="s">
        <v>110</v>
      </c>
      <c r="AX24" s="87" t="s">
        <v>111</v>
      </c>
      <c r="AY24" s="88" t="s">
        <v>466</v>
      </c>
      <c r="AZ24" s="105"/>
      <c r="BA24" s="106"/>
      <c r="BB24" s="106"/>
      <c r="BC24" s="106"/>
      <c r="BD24" s="106"/>
      <c r="BE24" s="203">
        <f>(BE17*BE20)/(12*BE23)</f>
        <v>2.3141644406101922</v>
      </c>
      <c r="BF24" s="90" t="s">
        <v>262</v>
      </c>
      <c r="BG24" s="103"/>
      <c r="BI24" s="86" t="s">
        <v>110</v>
      </c>
      <c r="BJ24" s="87" t="s">
        <v>111</v>
      </c>
      <c r="BK24" s="88" t="s">
        <v>466</v>
      </c>
      <c r="BL24" s="105"/>
      <c r="BM24" s="106"/>
      <c r="BN24" s="106"/>
      <c r="BO24" s="106"/>
      <c r="BP24" s="106"/>
      <c r="BQ24" s="203">
        <f>(BQ17*BQ20)/(12*BQ23)</f>
        <v>1.8747870158111812</v>
      </c>
      <c r="BR24" s="90" t="s">
        <v>262</v>
      </c>
      <c r="BS24" s="103"/>
      <c r="BU24" s="86" t="s">
        <v>110</v>
      </c>
      <c r="BV24" s="87" t="s">
        <v>111</v>
      </c>
      <c r="BW24" s="88" t="s">
        <v>466</v>
      </c>
      <c r="BX24" s="105"/>
      <c r="BY24" s="106"/>
      <c r="BZ24" s="106"/>
      <c r="CA24" s="106"/>
      <c r="CB24" s="106"/>
      <c r="CC24" s="203">
        <f>(CC17*CC20)/(12*CC23)</f>
        <v>0.14099964414326421</v>
      </c>
      <c r="CD24" s="90" t="s">
        <v>262</v>
      </c>
      <c r="CE24" s="103"/>
      <c r="CG24" s="86" t="s">
        <v>110</v>
      </c>
      <c r="CH24" s="87" t="s">
        <v>111</v>
      </c>
      <c r="CI24" s="88" t="s">
        <v>466</v>
      </c>
      <c r="CJ24" s="105"/>
      <c r="CK24" s="106"/>
      <c r="CL24" s="106"/>
      <c r="CM24" s="106"/>
      <c r="CN24" s="106"/>
      <c r="CO24" s="203">
        <f>(CO17*CO20)/(12*CO23)</f>
        <v>-0.30704682244862508</v>
      </c>
      <c r="CP24" s="90" t="s">
        <v>262</v>
      </c>
      <c r="CQ24" s="103"/>
    </row>
    <row r="25" spans="1:95">
      <c r="A25" s="86" t="s">
        <v>112</v>
      </c>
      <c r="B25" s="87" t="s">
        <v>113</v>
      </c>
      <c r="C25" s="88" t="s">
        <v>584</v>
      </c>
      <c r="D25" s="105"/>
      <c r="E25" s="106"/>
      <c r="F25" s="106"/>
      <c r="G25" s="106"/>
      <c r="H25" s="106"/>
      <c r="I25" s="203"/>
      <c r="J25" s="90" t="s">
        <v>262</v>
      </c>
      <c r="K25" s="103"/>
      <c r="M25" s="86" t="s">
        <v>112</v>
      </c>
      <c r="N25" s="87" t="s">
        <v>113</v>
      </c>
      <c r="O25" s="88" t="s">
        <v>584</v>
      </c>
      <c r="P25" s="105"/>
      <c r="Q25" s="106"/>
      <c r="R25" s="106"/>
      <c r="S25" s="106"/>
      <c r="T25" s="106"/>
      <c r="U25" s="203">
        <v>124.76</v>
      </c>
      <c r="V25" s="90" t="s">
        <v>262</v>
      </c>
      <c r="W25" s="103"/>
      <c r="Y25" s="86" t="s">
        <v>112</v>
      </c>
      <c r="Z25" s="87" t="s">
        <v>113</v>
      </c>
      <c r="AA25" s="88" t="s">
        <v>584</v>
      </c>
      <c r="AB25" s="105"/>
      <c r="AC25" s="106"/>
      <c r="AD25" s="106"/>
      <c r="AE25" s="106"/>
      <c r="AF25" s="106"/>
      <c r="AG25" s="611">
        <v>123.6705</v>
      </c>
      <c r="AH25" s="90" t="s">
        <v>262</v>
      </c>
      <c r="AI25" s="103"/>
      <c r="AK25" s="86" t="s">
        <v>112</v>
      </c>
      <c r="AL25" s="87" t="s">
        <v>113</v>
      </c>
      <c r="AM25" s="88" t="s">
        <v>584</v>
      </c>
      <c r="AN25" s="105"/>
      <c r="AO25" s="106"/>
      <c r="AP25" s="106"/>
      <c r="AQ25" s="106"/>
      <c r="AR25" s="106"/>
      <c r="AS25" s="203">
        <v>123.61499999999999</v>
      </c>
      <c r="AT25" s="90" t="s">
        <v>262</v>
      </c>
      <c r="AU25" s="103"/>
      <c r="AW25" s="86" t="s">
        <v>112</v>
      </c>
      <c r="AX25" s="87" t="s">
        <v>113</v>
      </c>
      <c r="AY25" s="88" t="s">
        <v>584</v>
      </c>
      <c r="AZ25" s="105"/>
      <c r="BA25" s="106"/>
      <c r="BB25" s="106"/>
      <c r="BC25" s="106"/>
      <c r="BD25" s="106"/>
      <c r="BE25" s="203">
        <v>123.76260000000001</v>
      </c>
      <c r="BF25" s="90" t="s">
        <v>262</v>
      </c>
      <c r="BG25" s="103"/>
      <c r="BI25" s="86" t="s">
        <v>112</v>
      </c>
      <c r="BJ25" s="87" t="s">
        <v>113</v>
      </c>
      <c r="BK25" s="88" t="s">
        <v>584</v>
      </c>
      <c r="BL25" s="105"/>
      <c r="BM25" s="106"/>
      <c r="BN25" s="106"/>
      <c r="BO25" s="106"/>
      <c r="BP25" s="106"/>
      <c r="BQ25" s="203">
        <v>123.706278</v>
      </c>
      <c r="BR25" s="90" t="s">
        <v>262</v>
      </c>
      <c r="BS25" s="103"/>
      <c r="BU25" s="86" t="s">
        <v>112</v>
      </c>
      <c r="BV25" s="87" t="s">
        <v>113</v>
      </c>
      <c r="BW25" s="88" t="s">
        <v>584</v>
      </c>
      <c r="BX25" s="105"/>
      <c r="BY25" s="106"/>
      <c r="BZ25" s="106"/>
      <c r="CA25" s="106"/>
      <c r="CB25" s="106"/>
      <c r="CC25" s="203">
        <v>123.92400000000001</v>
      </c>
      <c r="CD25" s="90" t="s">
        <v>262</v>
      </c>
      <c r="CE25" s="103"/>
      <c r="CG25" s="86" t="s">
        <v>112</v>
      </c>
      <c r="CH25" s="87" t="s">
        <v>113</v>
      </c>
      <c r="CI25" s="88" t="s">
        <v>584</v>
      </c>
      <c r="CJ25" s="105"/>
      <c r="CK25" s="106"/>
      <c r="CL25" s="106"/>
      <c r="CM25" s="106"/>
      <c r="CN25" s="106"/>
      <c r="CO25" s="203">
        <v>123.86369999999999</v>
      </c>
      <c r="CP25" s="90" t="s">
        <v>262</v>
      </c>
      <c r="CQ25" s="103"/>
    </row>
    <row r="26" spans="1:95">
      <c r="A26" s="86" t="s">
        <v>114</v>
      </c>
      <c r="B26" s="87" t="s">
        <v>143</v>
      </c>
      <c r="C26" s="88" t="s">
        <v>147</v>
      </c>
      <c r="D26" s="105"/>
      <c r="E26" s="106"/>
      <c r="F26" s="106"/>
      <c r="G26" s="106"/>
      <c r="H26" s="106"/>
      <c r="I26" s="203"/>
      <c r="J26" s="90" t="s">
        <v>262</v>
      </c>
      <c r="K26" s="103"/>
      <c r="M26" s="86" t="s">
        <v>114</v>
      </c>
      <c r="N26" s="87" t="s">
        <v>143</v>
      </c>
      <c r="O26" s="88" t="s">
        <v>147</v>
      </c>
      <c r="P26" s="105"/>
      <c r="Q26" s="106"/>
      <c r="R26" s="106"/>
      <c r="S26" s="106"/>
      <c r="T26" s="106"/>
      <c r="U26" s="203">
        <f>U18-(U24/U22*U25)</f>
        <v>16.21826084021729</v>
      </c>
      <c r="V26" s="90" t="s">
        <v>262</v>
      </c>
      <c r="W26" s="103"/>
      <c r="Y26" s="86" t="s">
        <v>114</v>
      </c>
      <c r="Z26" s="87" t="s">
        <v>143</v>
      </c>
      <c r="AA26" s="88" t="s">
        <v>147</v>
      </c>
      <c r="AB26" s="105"/>
      <c r="AC26" s="106"/>
      <c r="AD26" s="106"/>
      <c r="AE26" s="106"/>
      <c r="AF26" s="106"/>
      <c r="AG26" s="203">
        <f>AG18-(AG24/AG22*AG25)</f>
        <v>18.576000048882459</v>
      </c>
      <c r="AH26" s="90" t="s">
        <v>262</v>
      </c>
      <c r="AI26" s="103"/>
      <c r="AK26" s="86" t="s">
        <v>114</v>
      </c>
      <c r="AL26" s="87" t="s">
        <v>143</v>
      </c>
      <c r="AM26" s="88" t="s">
        <v>147</v>
      </c>
      <c r="AN26" s="105"/>
      <c r="AO26" s="106"/>
      <c r="AP26" s="106"/>
      <c r="AQ26" s="106"/>
      <c r="AR26" s="106"/>
      <c r="AS26" s="203">
        <f>AS18-(AS24/AS22*AS25)</f>
        <v>19.047510840778521</v>
      </c>
      <c r="AT26" s="90" t="s">
        <v>262</v>
      </c>
      <c r="AU26" s="103"/>
      <c r="AW26" s="86" t="s">
        <v>114</v>
      </c>
      <c r="AX26" s="87" t="s">
        <v>143</v>
      </c>
      <c r="AY26" s="88" t="s">
        <v>147</v>
      </c>
      <c r="AZ26" s="105"/>
      <c r="BA26" s="106"/>
      <c r="BB26" s="106"/>
      <c r="BC26" s="106"/>
      <c r="BD26" s="106"/>
      <c r="BE26" s="203">
        <f>BE18-(BE24/BE22*BE25)</f>
        <v>17.25573954652608</v>
      </c>
      <c r="BF26" s="90" t="s">
        <v>262</v>
      </c>
      <c r="BG26" s="103"/>
      <c r="BI26" s="86" t="s">
        <v>114</v>
      </c>
      <c r="BJ26" s="87" t="s">
        <v>143</v>
      </c>
      <c r="BK26" s="88" t="s">
        <v>147</v>
      </c>
      <c r="BL26" s="105"/>
      <c r="BM26" s="106"/>
      <c r="BN26" s="106"/>
      <c r="BO26" s="106"/>
      <c r="BP26" s="106"/>
      <c r="BQ26" s="203">
        <f>BQ18-(BQ24/BQ22*BQ25)</f>
        <v>17.745732261717535</v>
      </c>
      <c r="BR26" s="90" t="s">
        <v>262</v>
      </c>
      <c r="BS26" s="103"/>
      <c r="BU26" s="86" t="s">
        <v>114</v>
      </c>
      <c r="BV26" s="87" t="s">
        <v>143</v>
      </c>
      <c r="BW26" s="88" t="s">
        <v>147</v>
      </c>
      <c r="BX26" s="105"/>
      <c r="BY26" s="106"/>
      <c r="BZ26" s="106"/>
      <c r="CA26" s="106"/>
      <c r="CB26" s="106"/>
      <c r="CC26" s="203">
        <f>CC18-(CC24/CC22*CC25)</f>
        <v>17.782170557265715</v>
      </c>
      <c r="CD26" s="90" t="s">
        <v>262</v>
      </c>
      <c r="CE26" s="103"/>
      <c r="CG26" s="86" t="s">
        <v>114</v>
      </c>
      <c r="CH26" s="87" t="s">
        <v>143</v>
      </c>
      <c r="CI26" s="88" t="s">
        <v>147</v>
      </c>
      <c r="CJ26" s="105"/>
      <c r="CK26" s="106"/>
      <c r="CL26" s="106"/>
      <c r="CM26" s="106"/>
      <c r="CN26" s="106"/>
      <c r="CO26" s="203">
        <f>CO18-(CO24/CO22*CO25)</f>
        <v>18.279619321030882</v>
      </c>
      <c r="CP26" s="90" t="s">
        <v>262</v>
      </c>
      <c r="CQ26" s="103"/>
    </row>
    <row r="27" spans="1:95">
      <c r="A27" s="86" t="s">
        <v>115</v>
      </c>
      <c r="B27" s="87" t="s">
        <v>144</v>
      </c>
      <c r="C27" s="88" t="s">
        <v>148</v>
      </c>
      <c r="D27" s="105"/>
      <c r="E27" s="106"/>
      <c r="F27" s="106"/>
      <c r="G27" s="106"/>
      <c r="H27" s="106"/>
      <c r="I27" s="203"/>
      <c r="J27" s="90" t="s">
        <v>262</v>
      </c>
      <c r="K27" s="103"/>
      <c r="M27" s="86" t="s">
        <v>115</v>
      </c>
      <c r="N27" s="87" t="s">
        <v>144</v>
      </c>
      <c r="O27" s="88" t="s">
        <v>148</v>
      </c>
      <c r="P27" s="105"/>
      <c r="Q27" s="106"/>
      <c r="R27" s="106"/>
      <c r="S27" s="106"/>
      <c r="T27" s="106"/>
      <c r="U27" s="203">
        <f>U26+U24</f>
        <v>13.135106457523063</v>
      </c>
      <c r="V27" s="90" t="s">
        <v>262</v>
      </c>
      <c r="W27" s="103"/>
      <c r="Y27" s="86" t="s">
        <v>115</v>
      </c>
      <c r="Z27" s="87" t="s">
        <v>144</v>
      </c>
      <c r="AA27" s="88" t="s">
        <v>148</v>
      </c>
      <c r="AB27" s="105"/>
      <c r="AC27" s="106"/>
      <c r="AD27" s="106"/>
      <c r="AE27" s="106"/>
      <c r="AF27" s="106"/>
      <c r="AG27" s="203">
        <f>AG26+AG24</f>
        <v>19.101738266744604</v>
      </c>
      <c r="AH27" s="90" t="s">
        <v>262</v>
      </c>
      <c r="AI27" s="103"/>
      <c r="AK27" s="86" t="s">
        <v>115</v>
      </c>
      <c r="AL27" s="87" t="s">
        <v>144</v>
      </c>
      <c r="AM27" s="88" t="s">
        <v>148</v>
      </c>
      <c r="AN27" s="105"/>
      <c r="AO27" s="106"/>
      <c r="AP27" s="106"/>
      <c r="AQ27" s="106"/>
      <c r="AR27" s="106"/>
      <c r="AS27" s="203">
        <f>AS26+AS24</f>
        <v>19.165082915691894</v>
      </c>
      <c r="AT27" s="90" t="s">
        <v>262</v>
      </c>
      <c r="AU27" s="103"/>
      <c r="AW27" s="86" t="s">
        <v>115</v>
      </c>
      <c r="AX27" s="87" t="s">
        <v>144</v>
      </c>
      <c r="AY27" s="88" t="s">
        <v>148</v>
      </c>
      <c r="AZ27" s="105"/>
      <c r="BA27" s="106"/>
      <c r="BB27" s="106"/>
      <c r="BC27" s="106"/>
      <c r="BD27" s="106"/>
      <c r="BE27" s="203">
        <f>BE26+BE24</f>
        <v>19.569903987136271</v>
      </c>
      <c r="BF27" s="90" t="s">
        <v>262</v>
      </c>
      <c r="BG27" s="103"/>
      <c r="BI27" s="86" t="s">
        <v>115</v>
      </c>
      <c r="BJ27" s="87" t="s">
        <v>144</v>
      </c>
      <c r="BK27" s="88" t="s">
        <v>148</v>
      </c>
      <c r="BL27" s="105"/>
      <c r="BM27" s="106"/>
      <c r="BN27" s="106"/>
      <c r="BO27" s="106"/>
      <c r="BP27" s="106"/>
      <c r="BQ27" s="203">
        <f>BQ26+BQ24</f>
        <v>19.620519277528714</v>
      </c>
      <c r="BR27" s="90" t="s">
        <v>262</v>
      </c>
      <c r="BS27" s="103"/>
      <c r="BU27" s="86" t="s">
        <v>115</v>
      </c>
      <c r="BV27" s="87" t="s">
        <v>144</v>
      </c>
      <c r="BW27" s="88" t="s">
        <v>148</v>
      </c>
      <c r="BX27" s="105"/>
      <c r="BY27" s="106"/>
      <c r="BZ27" s="106"/>
      <c r="CA27" s="106"/>
      <c r="CB27" s="106"/>
      <c r="CC27" s="203">
        <f>CC26+CC24</f>
        <v>17.923170201408979</v>
      </c>
      <c r="CD27" s="90" t="s">
        <v>262</v>
      </c>
      <c r="CE27" s="103"/>
      <c r="CG27" s="86" t="s">
        <v>115</v>
      </c>
      <c r="CH27" s="87" t="s">
        <v>144</v>
      </c>
      <c r="CI27" s="88" t="s">
        <v>148</v>
      </c>
      <c r="CJ27" s="105"/>
      <c r="CK27" s="106"/>
      <c r="CL27" s="106"/>
      <c r="CM27" s="106"/>
      <c r="CN27" s="106"/>
      <c r="CO27" s="203">
        <f>CO26+CO24</f>
        <v>17.972572498582256</v>
      </c>
      <c r="CP27" s="90" t="s">
        <v>262</v>
      </c>
      <c r="CQ27" s="103"/>
    </row>
    <row r="28" spans="1:95">
      <c r="A28" s="86" t="s">
        <v>430</v>
      </c>
      <c r="B28" s="87" t="s">
        <v>145</v>
      </c>
      <c r="C28" s="88" t="s">
        <v>434</v>
      </c>
      <c r="D28" s="105"/>
      <c r="E28" s="106"/>
      <c r="F28" s="106"/>
      <c r="G28" s="106"/>
      <c r="H28" s="106"/>
      <c r="I28" s="204"/>
      <c r="J28" s="90" t="s">
        <v>262</v>
      </c>
      <c r="K28" s="103"/>
      <c r="M28" s="86" t="s">
        <v>430</v>
      </c>
      <c r="N28" s="87" t="s">
        <v>145</v>
      </c>
      <c r="O28" s="88" t="s">
        <v>434</v>
      </c>
      <c r="P28" s="105"/>
      <c r="Q28" s="106"/>
      <c r="R28" s="106"/>
      <c r="S28" s="106"/>
      <c r="T28" s="106"/>
      <c r="U28" s="204">
        <f>U18-(U24/U22*(U25-14))</f>
        <v>16.038350197679279</v>
      </c>
      <c r="V28" s="90" t="s">
        <v>262</v>
      </c>
      <c r="W28" s="103"/>
      <c r="Y28" s="86" t="s">
        <v>430</v>
      </c>
      <c r="Z28" s="87" t="s">
        <v>145</v>
      </c>
      <c r="AA28" s="88" t="s">
        <v>434</v>
      </c>
      <c r="AB28" s="105"/>
      <c r="AC28" s="106"/>
      <c r="AD28" s="106"/>
      <c r="AE28" s="106"/>
      <c r="AF28" s="106"/>
      <c r="AG28" s="204">
        <f>AG18-(AG24/AG22*(AG25-14))</f>
        <v>18.606678337687356</v>
      </c>
      <c r="AH28" s="90" t="s">
        <v>262</v>
      </c>
      <c r="AI28" s="103"/>
      <c r="AK28" s="86" t="s">
        <v>430</v>
      </c>
      <c r="AL28" s="87" t="s">
        <v>145</v>
      </c>
      <c r="AM28" s="88" t="s">
        <v>434</v>
      </c>
      <c r="AN28" s="105"/>
      <c r="AO28" s="106"/>
      <c r="AP28" s="106"/>
      <c r="AQ28" s="106"/>
      <c r="AR28" s="106"/>
      <c r="AS28" s="204">
        <f>AS18-(AS24/AS22*(AS25-14))</f>
        <v>19.054371498701109</v>
      </c>
      <c r="AT28" s="90" t="s">
        <v>262</v>
      </c>
      <c r="AU28" s="103"/>
      <c r="AW28" s="86" t="s">
        <v>430</v>
      </c>
      <c r="AX28" s="87" t="s">
        <v>145</v>
      </c>
      <c r="AY28" s="88" t="s">
        <v>434</v>
      </c>
      <c r="AZ28" s="105"/>
      <c r="BA28" s="106"/>
      <c r="BB28" s="106"/>
      <c r="BC28" s="106"/>
      <c r="BD28" s="106"/>
      <c r="BE28" s="204">
        <f>BE18-(BE24/BE22*(BE25-14))</f>
        <v>17.390777484874459</v>
      </c>
      <c r="BF28" s="90" t="s">
        <v>262</v>
      </c>
      <c r="BG28" s="103"/>
      <c r="BI28" s="86" t="s">
        <v>430</v>
      </c>
      <c r="BJ28" s="87" t="s">
        <v>145</v>
      </c>
      <c r="BK28" s="88" t="s">
        <v>434</v>
      </c>
      <c r="BL28" s="105"/>
      <c r="BM28" s="106"/>
      <c r="BN28" s="106"/>
      <c r="BO28" s="106"/>
      <c r="BP28" s="106"/>
      <c r="BQ28" s="204">
        <f>BQ18-(BQ24/BQ22*(BQ25-14))</f>
        <v>17.855131303987278</v>
      </c>
      <c r="BR28" s="90" t="s">
        <v>262</v>
      </c>
      <c r="BS28" s="103"/>
      <c r="BU28" s="86" t="s">
        <v>430</v>
      </c>
      <c r="BV28" s="87" t="s">
        <v>145</v>
      </c>
      <c r="BW28" s="88" t="s">
        <v>434</v>
      </c>
      <c r="BX28" s="105"/>
      <c r="BY28" s="106"/>
      <c r="BZ28" s="106"/>
      <c r="CA28" s="106"/>
      <c r="CB28" s="106"/>
      <c r="CC28" s="204">
        <f>CC18-(CC24/CC22*(CC25-14))</f>
        <v>17.790398279081344</v>
      </c>
      <c r="CD28" s="90" t="s">
        <v>262</v>
      </c>
      <c r="CE28" s="103"/>
      <c r="CG28" s="86" t="s">
        <v>430</v>
      </c>
      <c r="CH28" s="87" t="s">
        <v>145</v>
      </c>
      <c r="CI28" s="88" t="s">
        <v>434</v>
      </c>
      <c r="CJ28" s="105"/>
      <c r="CK28" s="106"/>
      <c r="CL28" s="106"/>
      <c r="CM28" s="106"/>
      <c r="CN28" s="106"/>
      <c r="CO28" s="204">
        <f>CO18-(CO24/CO22*(CO25-14))</f>
        <v>18.261702284042382</v>
      </c>
      <c r="CP28" s="90" t="s">
        <v>262</v>
      </c>
      <c r="CQ28" s="103"/>
    </row>
    <row r="29" spans="1:95">
      <c r="A29" s="86" t="s">
        <v>429</v>
      </c>
      <c r="B29" s="87" t="s">
        <v>435</v>
      </c>
      <c r="C29" s="88" t="s">
        <v>436</v>
      </c>
      <c r="D29" s="105"/>
      <c r="E29" s="106"/>
      <c r="F29" s="106"/>
      <c r="G29" s="106"/>
      <c r="H29" s="106"/>
      <c r="I29" s="333"/>
      <c r="J29" s="90" t="s">
        <v>262</v>
      </c>
      <c r="K29" s="103"/>
      <c r="M29" s="86" t="s">
        <v>429</v>
      </c>
      <c r="N29" s="87" t="s">
        <v>435</v>
      </c>
      <c r="O29" s="88" t="s">
        <v>436</v>
      </c>
      <c r="P29" s="105"/>
      <c r="Q29" s="106"/>
      <c r="R29" s="106"/>
      <c r="S29" s="106"/>
      <c r="T29" s="106"/>
      <c r="U29" s="204">
        <f>U18-(U24/U22*(U25-122))</f>
        <v>14.650468098100351</v>
      </c>
      <c r="V29" s="90" t="s">
        <v>262</v>
      </c>
      <c r="W29" s="103"/>
      <c r="Y29" s="86" t="s">
        <v>429</v>
      </c>
      <c r="Z29" s="87" t="s">
        <v>435</v>
      </c>
      <c r="AA29" s="88" t="s">
        <v>436</v>
      </c>
      <c r="AB29" s="105"/>
      <c r="AC29" s="106"/>
      <c r="AD29" s="106"/>
      <c r="AE29" s="106"/>
      <c r="AF29" s="106"/>
      <c r="AG29" s="204">
        <f>AG18-(AG24/AG22*(AG25-122))</f>
        <v>18.843339422753676</v>
      </c>
      <c r="AH29" s="90" t="s">
        <v>262</v>
      </c>
      <c r="AI29" s="103"/>
      <c r="AK29" s="86" t="s">
        <v>429</v>
      </c>
      <c r="AL29" s="87" t="s">
        <v>435</v>
      </c>
      <c r="AM29" s="88" t="s">
        <v>436</v>
      </c>
      <c r="AN29" s="105"/>
      <c r="AO29" s="106"/>
      <c r="AP29" s="106"/>
      <c r="AQ29" s="106"/>
      <c r="AR29" s="106"/>
      <c r="AS29" s="204">
        <f>AS18-(AS24/AS22*(AS25-122))</f>
        <v>19.10729657410393</v>
      </c>
      <c r="AT29" s="90" t="s">
        <v>262</v>
      </c>
      <c r="AU29" s="103"/>
      <c r="AW29" s="86" t="s">
        <v>429</v>
      </c>
      <c r="AX29" s="87" t="s">
        <v>435</v>
      </c>
      <c r="AY29" s="88" t="s">
        <v>436</v>
      </c>
      <c r="AZ29" s="105"/>
      <c r="BA29" s="106"/>
      <c r="BB29" s="106"/>
      <c r="BC29" s="106"/>
      <c r="BD29" s="106"/>
      <c r="BE29" s="204">
        <f>BE18-(BE24/BE22*(BE25-122))</f>
        <v>18.432498723561938</v>
      </c>
      <c r="BF29" s="90" t="s">
        <v>262</v>
      </c>
      <c r="BG29" s="103"/>
      <c r="BI29" s="86" t="s">
        <v>429</v>
      </c>
      <c r="BJ29" s="87" t="s">
        <v>435</v>
      </c>
      <c r="BK29" s="88" t="s">
        <v>436</v>
      </c>
      <c r="BL29" s="105"/>
      <c r="BM29" s="106"/>
      <c r="BN29" s="106"/>
      <c r="BO29" s="106"/>
      <c r="BP29" s="106"/>
      <c r="BQ29" s="204">
        <f>BQ18-(BQ24/BQ22*(BQ25-122))</f>
        <v>18.699066772925288</v>
      </c>
      <c r="BR29" s="90" t="s">
        <v>262</v>
      </c>
      <c r="BS29" s="103"/>
      <c r="BU29" s="86" t="s">
        <v>429</v>
      </c>
      <c r="BV29" s="87" t="s">
        <v>435</v>
      </c>
      <c r="BW29" s="88" t="s">
        <v>436</v>
      </c>
      <c r="BX29" s="105"/>
      <c r="BY29" s="106"/>
      <c r="BZ29" s="106"/>
      <c r="CA29" s="106"/>
      <c r="CB29" s="106"/>
      <c r="CC29" s="204">
        <f>CC18-(CC24/CC22*(CC25-122))</f>
        <v>17.853869275944767</v>
      </c>
      <c r="CD29" s="90" t="s">
        <v>262</v>
      </c>
      <c r="CE29" s="103"/>
      <c r="CG29" s="86" t="s">
        <v>429</v>
      </c>
      <c r="CH29" s="87" t="s">
        <v>435</v>
      </c>
      <c r="CI29" s="88" t="s">
        <v>436</v>
      </c>
      <c r="CJ29" s="105"/>
      <c r="CK29" s="106"/>
      <c r="CL29" s="106"/>
      <c r="CM29" s="106"/>
      <c r="CN29" s="106"/>
      <c r="CO29" s="204">
        <f>CO18-(CO24/CO22*(CO25-122))</f>
        <v>18.123485141559673</v>
      </c>
      <c r="CP29" s="90" t="s">
        <v>262</v>
      </c>
      <c r="CQ29" s="103"/>
    </row>
    <row r="30" spans="1:95">
      <c r="A30" s="86" t="s">
        <v>431</v>
      </c>
      <c r="B30" s="87" t="s">
        <v>146</v>
      </c>
      <c r="C30" s="88" t="s">
        <v>467</v>
      </c>
      <c r="D30" s="105"/>
      <c r="E30" s="106"/>
      <c r="F30" s="106"/>
      <c r="G30" s="106"/>
      <c r="H30" s="106"/>
      <c r="I30" s="204"/>
      <c r="J30" s="90" t="s">
        <v>262</v>
      </c>
      <c r="K30" s="103"/>
      <c r="M30" s="86" t="s">
        <v>431</v>
      </c>
      <c r="N30" s="87" t="s">
        <v>146</v>
      </c>
      <c r="O30" s="88" t="s">
        <v>467</v>
      </c>
      <c r="P30" s="105"/>
      <c r="Q30" s="106"/>
      <c r="R30" s="106"/>
      <c r="S30" s="106"/>
      <c r="T30" s="106"/>
      <c r="U30" s="204">
        <f>U18-(U24/U22*(U25-216))</f>
        <v>13.442496641059432</v>
      </c>
      <c r="V30" s="90" t="s">
        <v>262</v>
      </c>
      <c r="W30" s="103"/>
      <c r="Y30" s="86" t="s">
        <v>431</v>
      </c>
      <c r="Z30" s="87" t="s">
        <v>146</v>
      </c>
      <c r="AA30" s="88" t="s">
        <v>467</v>
      </c>
      <c r="AB30" s="105"/>
      <c r="AC30" s="106"/>
      <c r="AD30" s="106"/>
      <c r="AE30" s="106"/>
      <c r="AF30" s="106"/>
      <c r="AG30" s="204">
        <f>AG18-(AG24/AG22*(AG25-216))</f>
        <v>19.049322219015103</v>
      </c>
      <c r="AH30" s="90" t="s">
        <v>262</v>
      </c>
      <c r="AI30" s="103"/>
      <c r="AK30" s="86" t="s">
        <v>431</v>
      </c>
      <c r="AL30" s="87" t="s">
        <v>146</v>
      </c>
      <c r="AM30" s="88" t="s">
        <v>467</v>
      </c>
      <c r="AN30" s="105"/>
      <c r="AO30" s="106"/>
      <c r="AP30" s="106"/>
      <c r="AQ30" s="106"/>
      <c r="AR30" s="106"/>
      <c r="AS30" s="204">
        <f>AS18-(AS24/AS22*(AS25-216))</f>
        <v>19.153360991584162</v>
      </c>
      <c r="AT30" s="90" t="s">
        <v>262</v>
      </c>
      <c r="AU30" s="103"/>
      <c r="AW30" s="86" t="s">
        <v>431</v>
      </c>
      <c r="AX30" s="87" t="s">
        <v>146</v>
      </c>
      <c r="AY30" s="88" t="s">
        <v>467</v>
      </c>
      <c r="AZ30" s="105"/>
      <c r="BA30" s="106"/>
      <c r="BB30" s="106"/>
      <c r="BC30" s="106"/>
      <c r="BD30" s="106"/>
      <c r="BE30" s="204">
        <f>BE18-(BE24/BE22*(BE25-216))</f>
        <v>19.339182023901046</v>
      </c>
      <c r="BF30" s="90" t="s">
        <v>262</v>
      </c>
      <c r="BG30" s="103"/>
      <c r="BI30" s="86" t="s">
        <v>431</v>
      </c>
      <c r="BJ30" s="87" t="s">
        <v>146</v>
      </c>
      <c r="BK30" s="88" t="s">
        <v>467</v>
      </c>
      <c r="BL30" s="105"/>
      <c r="BM30" s="106"/>
      <c r="BN30" s="106"/>
      <c r="BO30" s="106"/>
      <c r="BP30" s="106"/>
      <c r="BQ30" s="204">
        <f>BQ18-(BQ24/BQ22*(BQ25-216))</f>
        <v>19.433603199593559</v>
      </c>
      <c r="BR30" s="90" t="s">
        <v>262</v>
      </c>
      <c r="BS30" s="103"/>
      <c r="BU30" s="86" t="s">
        <v>431</v>
      </c>
      <c r="BV30" s="87" t="s">
        <v>146</v>
      </c>
      <c r="BW30" s="88" t="s">
        <v>467</v>
      </c>
      <c r="BX30" s="105"/>
      <c r="BY30" s="106"/>
      <c r="BZ30" s="106"/>
      <c r="CA30" s="106"/>
      <c r="CB30" s="106"/>
      <c r="CC30" s="204">
        <f>CC18-(CC24/CC22*(CC25-216))</f>
        <v>17.90911255099256</v>
      </c>
      <c r="CD30" s="90" t="s">
        <v>262</v>
      </c>
      <c r="CE30" s="103"/>
      <c r="CG30" s="86" t="s">
        <v>431</v>
      </c>
      <c r="CH30" s="87" t="s">
        <v>146</v>
      </c>
      <c r="CI30" s="88" t="s">
        <v>467</v>
      </c>
      <c r="CJ30" s="105"/>
      <c r="CK30" s="106"/>
      <c r="CL30" s="106"/>
      <c r="CM30" s="106"/>
      <c r="CN30" s="106"/>
      <c r="CO30" s="204">
        <f>CO18-(CO24/CO22*(CO25-216))</f>
        <v>18.003185036065464</v>
      </c>
      <c r="CP30" s="90" t="s">
        <v>262</v>
      </c>
      <c r="CQ30" s="103"/>
    </row>
    <row r="31" spans="1:95" ht="8.25" customHeight="1">
      <c r="A31" s="86"/>
      <c r="B31" s="106"/>
      <c r="C31" s="87"/>
      <c r="D31" s="88"/>
      <c r="E31" s="106"/>
      <c r="F31" s="106"/>
      <c r="G31" s="106"/>
      <c r="H31" s="106"/>
      <c r="I31" s="205"/>
      <c r="J31" s="90"/>
      <c r="K31" s="103"/>
      <c r="M31" s="86"/>
      <c r="N31" s="106"/>
      <c r="O31" s="87"/>
      <c r="P31" s="88"/>
      <c r="Q31" s="106"/>
      <c r="R31" s="106"/>
      <c r="S31" s="106"/>
      <c r="T31" s="106"/>
      <c r="U31" s="205"/>
      <c r="V31" s="90"/>
      <c r="W31" s="103"/>
      <c r="Y31" s="86"/>
      <c r="Z31" s="106"/>
      <c r="AA31" s="87"/>
      <c r="AB31" s="88"/>
      <c r="AC31" s="106"/>
      <c r="AD31" s="106"/>
      <c r="AE31" s="106"/>
      <c r="AF31" s="106"/>
      <c r="AG31" s="205"/>
      <c r="AH31" s="90"/>
      <c r="AI31" s="103"/>
      <c r="AK31" s="86"/>
      <c r="AL31" s="106"/>
      <c r="AM31" s="87"/>
      <c r="AN31" s="88"/>
      <c r="AO31" s="106"/>
      <c r="AP31" s="106"/>
      <c r="AQ31" s="106"/>
      <c r="AR31" s="106"/>
      <c r="AS31" s="205"/>
      <c r="AT31" s="90"/>
      <c r="AU31" s="103"/>
      <c r="AW31" s="86"/>
      <c r="AX31" s="106"/>
      <c r="AY31" s="87"/>
      <c r="AZ31" s="88"/>
      <c r="BA31" s="106"/>
      <c r="BB31" s="106"/>
      <c r="BC31" s="106"/>
      <c r="BD31" s="106"/>
      <c r="BE31" s="205"/>
      <c r="BF31" s="90"/>
      <c r="BG31" s="103"/>
      <c r="BI31" s="86"/>
      <c r="BJ31" s="106"/>
      <c r="BK31" s="87"/>
      <c r="BL31" s="88"/>
      <c r="BM31" s="106"/>
      <c r="BN31" s="106"/>
      <c r="BO31" s="106"/>
      <c r="BP31" s="106"/>
      <c r="BQ31" s="205"/>
      <c r="BR31" s="90"/>
      <c r="BS31" s="103"/>
      <c r="BU31" s="86"/>
      <c r="BV31" s="106"/>
      <c r="BW31" s="87"/>
      <c r="BX31" s="88"/>
      <c r="BY31" s="106"/>
      <c r="BZ31" s="106"/>
      <c r="CA31" s="106"/>
      <c r="CB31" s="106"/>
      <c r="CC31" s="205"/>
      <c r="CD31" s="90"/>
      <c r="CE31" s="103"/>
      <c r="CG31" s="86"/>
      <c r="CH31" s="106"/>
      <c r="CI31" s="87"/>
      <c r="CJ31" s="88"/>
      <c r="CK31" s="106"/>
      <c r="CL31" s="106"/>
      <c r="CM31" s="106"/>
      <c r="CN31" s="106"/>
      <c r="CO31" s="205"/>
      <c r="CP31" s="90"/>
      <c r="CQ31" s="103"/>
    </row>
    <row r="32" spans="1:95">
      <c r="A32" s="250" t="s">
        <v>116</v>
      </c>
      <c r="B32" s="216"/>
      <c r="C32" s="251"/>
      <c r="D32" s="252"/>
      <c r="E32" s="216"/>
      <c r="F32" s="252"/>
      <c r="G32" s="252"/>
      <c r="H32" s="252"/>
      <c r="I32" s="206"/>
      <c r="J32" s="110"/>
      <c r="K32" s="111"/>
      <c r="M32" s="250" t="s">
        <v>116</v>
      </c>
      <c r="N32" s="216"/>
      <c r="O32" s="251"/>
      <c r="P32" s="252"/>
      <c r="Q32" s="216"/>
      <c r="R32" s="252"/>
      <c r="S32" s="252"/>
      <c r="T32" s="252"/>
      <c r="U32" s="206"/>
      <c r="V32" s="110"/>
      <c r="W32" s="111"/>
      <c r="Y32" s="250" t="s">
        <v>116</v>
      </c>
      <c r="Z32" s="216"/>
      <c r="AA32" s="251"/>
      <c r="AB32" s="252"/>
      <c r="AC32" s="216"/>
      <c r="AD32" s="252"/>
      <c r="AE32" s="252"/>
      <c r="AF32" s="252"/>
      <c r="AG32" s="206"/>
      <c r="AH32" s="110"/>
      <c r="AI32" s="111"/>
      <c r="AK32" s="250" t="s">
        <v>116</v>
      </c>
      <c r="AL32" s="216"/>
      <c r="AM32" s="251"/>
      <c r="AN32" s="252"/>
      <c r="AO32" s="216"/>
      <c r="AP32" s="252"/>
      <c r="AQ32" s="252"/>
      <c r="AR32" s="252"/>
      <c r="AS32" s="206"/>
      <c r="AT32" s="110"/>
      <c r="AU32" s="111"/>
      <c r="AW32" s="250" t="s">
        <v>116</v>
      </c>
      <c r="AX32" s="216"/>
      <c r="AY32" s="251"/>
      <c r="AZ32" s="252"/>
      <c r="BA32" s="216"/>
      <c r="BB32" s="252"/>
      <c r="BC32" s="252"/>
      <c r="BD32" s="252"/>
      <c r="BE32" s="206"/>
      <c r="BF32" s="110"/>
      <c r="BG32" s="111"/>
      <c r="BI32" s="250" t="s">
        <v>116</v>
      </c>
      <c r="BJ32" s="216"/>
      <c r="BK32" s="251"/>
      <c r="BL32" s="252"/>
      <c r="BM32" s="216"/>
      <c r="BN32" s="252"/>
      <c r="BO32" s="252"/>
      <c r="BP32" s="252"/>
      <c r="BQ32" s="206"/>
      <c r="BR32" s="110"/>
      <c r="BS32" s="111"/>
      <c r="BU32" s="250" t="s">
        <v>116</v>
      </c>
      <c r="BV32" s="216"/>
      <c r="BW32" s="251"/>
      <c r="BX32" s="252"/>
      <c r="BY32" s="216"/>
      <c r="BZ32" s="252"/>
      <c r="CA32" s="252"/>
      <c r="CB32" s="252"/>
      <c r="CC32" s="206"/>
      <c r="CD32" s="110"/>
      <c r="CE32" s="111"/>
      <c r="CG32" s="250" t="s">
        <v>116</v>
      </c>
      <c r="CH32" s="216"/>
      <c r="CI32" s="251"/>
      <c r="CJ32" s="252"/>
      <c r="CK32" s="216"/>
      <c r="CL32" s="252"/>
      <c r="CM32" s="252"/>
      <c r="CN32" s="252"/>
      <c r="CO32" s="206"/>
      <c r="CP32" s="110"/>
      <c r="CQ32" s="111"/>
    </row>
    <row r="33" spans="1:95">
      <c r="A33" s="86" t="s">
        <v>133</v>
      </c>
      <c r="B33" s="87" t="s">
        <v>134</v>
      </c>
      <c r="C33" s="88" t="s">
        <v>135</v>
      </c>
      <c r="D33" s="105"/>
      <c r="E33" s="106"/>
      <c r="F33" s="89"/>
      <c r="G33" s="89"/>
      <c r="H33" s="89"/>
      <c r="I33" s="202"/>
      <c r="J33" s="90" t="s">
        <v>426</v>
      </c>
      <c r="K33" s="103"/>
      <c r="M33" s="86" t="s">
        <v>133</v>
      </c>
      <c r="N33" s="87" t="s">
        <v>134</v>
      </c>
      <c r="O33" s="88" t="s">
        <v>135</v>
      </c>
      <c r="P33" s="105"/>
      <c r="Q33" s="106"/>
      <c r="R33" s="89"/>
      <c r="S33" s="89"/>
      <c r="T33" s="89"/>
      <c r="U33" s="202">
        <v>0</v>
      </c>
      <c r="V33" s="90" t="s">
        <v>426</v>
      </c>
      <c r="W33" s="103"/>
      <c r="Y33" s="86" t="s">
        <v>133</v>
      </c>
      <c r="Z33" s="87" t="s">
        <v>134</v>
      </c>
      <c r="AA33" s="88" t="s">
        <v>135</v>
      </c>
      <c r="AB33" s="105"/>
      <c r="AC33" s="106"/>
      <c r="AD33" s="89"/>
      <c r="AE33" s="89"/>
      <c r="AF33" s="89"/>
      <c r="AG33" s="202">
        <v>4584.3</v>
      </c>
      <c r="AH33" s="90" t="s">
        <v>426</v>
      </c>
      <c r="AI33" s="103"/>
      <c r="AK33" s="86" t="s">
        <v>133</v>
      </c>
      <c r="AL33" s="87" t="s">
        <v>134</v>
      </c>
      <c r="AM33" s="88" t="s">
        <v>135</v>
      </c>
      <c r="AN33" s="105"/>
      <c r="AO33" s="106"/>
      <c r="AP33" s="89"/>
      <c r="AQ33" s="89"/>
      <c r="AR33" s="89"/>
      <c r="AS33" s="202">
        <v>4584.3</v>
      </c>
      <c r="AT33" s="90" t="s">
        <v>426</v>
      </c>
      <c r="AU33" s="103"/>
      <c r="AW33" s="86" t="s">
        <v>133</v>
      </c>
      <c r="AX33" s="87" t="s">
        <v>134</v>
      </c>
      <c r="AY33" s="88" t="s">
        <v>135</v>
      </c>
      <c r="AZ33" s="105"/>
      <c r="BA33" s="106"/>
      <c r="BB33" s="89"/>
      <c r="BC33" s="89"/>
      <c r="BD33" s="89"/>
      <c r="BE33" s="202">
        <v>4584.3</v>
      </c>
      <c r="BF33" s="90" t="s">
        <v>426</v>
      </c>
      <c r="BG33" s="103"/>
      <c r="BI33" s="86" t="s">
        <v>133</v>
      </c>
      <c r="BJ33" s="87" t="s">
        <v>134</v>
      </c>
      <c r="BK33" s="88" t="s">
        <v>135</v>
      </c>
      <c r="BL33" s="105"/>
      <c r="BM33" s="106"/>
      <c r="BN33" s="89"/>
      <c r="BO33" s="89"/>
      <c r="BP33" s="89"/>
      <c r="BQ33" s="202">
        <v>4584.3</v>
      </c>
      <c r="BR33" s="90" t="s">
        <v>426</v>
      </c>
      <c r="BS33" s="103"/>
      <c r="BU33" s="86" t="s">
        <v>133</v>
      </c>
      <c r="BV33" s="87" t="s">
        <v>134</v>
      </c>
      <c r="BW33" s="88" t="s">
        <v>135</v>
      </c>
      <c r="BX33" s="105"/>
      <c r="BY33" s="106"/>
      <c r="BZ33" s="89"/>
      <c r="CA33" s="89"/>
      <c r="CB33" s="89"/>
      <c r="CC33" s="202">
        <v>4584.3</v>
      </c>
      <c r="CD33" s="90" t="s">
        <v>426</v>
      </c>
      <c r="CE33" s="103"/>
      <c r="CG33" s="86" t="s">
        <v>133</v>
      </c>
      <c r="CH33" s="87" t="s">
        <v>134</v>
      </c>
      <c r="CI33" s="88" t="s">
        <v>135</v>
      </c>
      <c r="CJ33" s="105"/>
      <c r="CK33" s="106"/>
      <c r="CL33" s="89"/>
      <c r="CM33" s="89"/>
      <c r="CN33" s="89"/>
      <c r="CO33" s="202">
        <v>4584.3</v>
      </c>
      <c r="CP33" s="90" t="s">
        <v>426</v>
      </c>
      <c r="CQ33" s="103"/>
    </row>
    <row r="34" spans="1:95">
      <c r="A34" s="86" t="s">
        <v>117</v>
      </c>
      <c r="B34" s="87" t="s">
        <v>151</v>
      </c>
      <c r="C34" s="88" t="s">
        <v>129</v>
      </c>
      <c r="D34" s="105"/>
      <c r="E34" s="106"/>
      <c r="F34" s="106"/>
      <c r="G34" s="106"/>
      <c r="H34" s="106"/>
      <c r="I34" s="204"/>
      <c r="J34" s="90" t="s">
        <v>262</v>
      </c>
      <c r="K34" s="103"/>
      <c r="M34" s="86" t="s">
        <v>117</v>
      </c>
      <c r="N34" s="87" t="s">
        <v>151</v>
      </c>
      <c r="O34" s="88" t="s">
        <v>129</v>
      </c>
      <c r="P34" s="105"/>
      <c r="Q34" s="106"/>
      <c r="R34" s="106"/>
      <c r="S34" s="106"/>
      <c r="T34" s="106"/>
      <c r="U34" s="204">
        <f>U33/U17</f>
        <v>0</v>
      </c>
      <c r="V34" s="90" t="s">
        <v>262</v>
      </c>
      <c r="W34" s="103"/>
      <c r="Y34" s="86" t="s">
        <v>117</v>
      </c>
      <c r="Z34" s="87" t="s">
        <v>151</v>
      </c>
      <c r="AA34" s="88" t="s">
        <v>129</v>
      </c>
      <c r="AB34" s="105"/>
      <c r="AC34" s="106"/>
      <c r="AD34" s="106"/>
      <c r="AE34" s="106"/>
      <c r="AF34" s="106"/>
      <c r="AG34" s="204">
        <f>AG33/AG17</f>
        <v>1.1838089089735313</v>
      </c>
      <c r="AH34" s="90" t="s">
        <v>262</v>
      </c>
      <c r="AI34" s="103"/>
      <c r="AK34" s="86" t="s">
        <v>117</v>
      </c>
      <c r="AL34" s="87" t="s">
        <v>151</v>
      </c>
      <c r="AM34" s="88" t="s">
        <v>129</v>
      </c>
      <c r="AN34" s="105"/>
      <c r="AO34" s="106"/>
      <c r="AP34" s="106"/>
      <c r="AQ34" s="106"/>
      <c r="AR34" s="106"/>
      <c r="AS34" s="204">
        <f>AS33/AS17</f>
        <v>1.1607821093251496</v>
      </c>
      <c r="AT34" s="90" t="s">
        <v>262</v>
      </c>
      <c r="AU34" s="103"/>
      <c r="AW34" s="86" t="s">
        <v>117</v>
      </c>
      <c r="AX34" s="87" t="s">
        <v>151</v>
      </c>
      <c r="AY34" s="88" t="s">
        <v>129</v>
      </c>
      <c r="AZ34" s="105"/>
      <c r="BA34" s="106"/>
      <c r="BB34" s="106"/>
      <c r="BC34" s="106"/>
      <c r="BD34" s="106"/>
      <c r="BE34" s="204">
        <f>BE33/BE17</f>
        <v>1.2205044101946982</v>
      </c>
      <c r="BF34" s="90" t="s">
        <v>262</v>
      </c>
      <c r="BG34" s="103"/>
      <c r="BI34" s="86" t="s">
        <v>117</v>
      </c>
      <c r="BJ34" s="87" t="s">
        <v>151</v>
      </c>
      <c r="BK34" s="88" t="s">
        <v>129</v>
      </c>
      <c r="BL34" s="105"/>
      <c r="BM34" s="106"/>
      <c r="BN34" s="106"/>
      <c r="BO34" s="106"/>
      <c r="BP34" s="106"/>
      <c r="BQ34" s="204">
        <f>BQ33/BQ17</f>
        <v>1.1960426727612847</v>
      </c>
      <c r="BR34" s="90" t="s">
        <v>262</v>
      </c>
      <c r="BS34" s="103"/>
      <c r="BU34" s="86" t="s">
        <v>117</v>
      </c>
      <c r="BV34" s="87" t="s">
        <v>151</v>
      </c>
      <c r="BW34" s="88" t="s">
        <v>129</v>
      </c>
      <c r="BX34" s="105"/>
      <c r="BY34" s="106"/>
      <c r="BZ34" s="106"/>
      <c r="CA34" s="106"/>
      <c r="CB34" s="106"/>
      <c r="CC34" s="204">
        <f>CC33/CC17</f>
        <v>1.2791515293566156</v>
      </c>
      <c r="CD34" s="90" t="s">
        <v>262</v>
      </c>
      <c r="CE34" s="103"/>
      <c r="CG34" s="86" t="s">
        <v>117</v>
      </c>
      <c r="CH34" s="87" t="s">
        <v>151</v>
      </c>
      <c r="CI34" s="88" t="s">
        <v>129</v>
      </c>
      <c r="CJ34" s="105"/>
      <c r="CK34" s="106"/>
      <c r="CL34" s="106"/>
      <c r="CM34" s="106"/>
      <c r="CN34" s="106"/>
      <c r="CO34" s="204">
        <f>CO33/CO17</f>
        <v>1.2523083143022606</v>
      </c>
      <c r="CP34" s="90" t="s">
        <v>262</v>
      </c>
      <c r="CQ34" s="103"/>
    </row>
    <row r="35" spans="1:95">
      <c r="A35" s="86" t="s">
        <v>522</v>
      </c>
      <c r="B35" s="87" t="s">
        <v>528</v>
      </c>
      <c r="C35" s="88" t="s">
        <v>523</v>
      </c>
      <c r="D35" s="105"/>
      <c r="E35" s="106"/>
      <c r="F35" s="106"/>
      <c r="G35" s="106"/>
      <c r="H35" s="106"/>
      <c r="I35" s="204"/>
      <c r="J35" s="90" t="s">
        <v>262</v>
      </c>
      <c r="K35" s="103"/>
      <c r="M35" s="86" t="s">
        <v>522</v>
      </c>
      <c r="N35" s="87" t="s">
        <v>528</v>
      </c>
      <c r="O35" s="88" t="s">
        <v>523</v>
      </c>
      <c r="P35" s="105"/>
      <c r="Q35" s="106"/>
      <c r="R35" s="106"/>
      <c r="S35" s="106"/>
      <c r="T35" s="106"/>
      <c r="U35" s="204">
        <f>O15+U34</f>
        <v>24.06</v>
      </c>
      <c r="V35" s="90" t="s">
        <v>262</v>
      </c>
      <c r="W35" s="103"/>
      <c r="Y35" s="86" t="s">
        <v>522</v>
      </c>
      <c r="Z35" s="87" t="s">
        <v>528</v>
      </c>
      <c r="AA35" s="88" t="s">
        <v>523</v>
      </c>
      <c r="AB35" s="105"/>
      <c r="AC35" s="106"/>
      <c r="AD35" s="106"/>
      <c r="AE35" s="106"/>
      <c r="AF35" s="106"/>
      <c r="AG35" s="204">
        <f>AA15+AG34</f>
        <v>21.976983628147192</v>
      </c>
      <c r="AH35" s="90" t="s">
        <v>262</v>
      </c>
      <c r="AI35" s="103"/>
      <c r="AK35" s="86" t="s">
        <v>522</v>
      </c>
      <c r="AL35" s="87" t="s">
        <v>528</v>
      </c>
      <c r="AM35" s="88" t="s">
        <v>523</v>
      </c>
      <c r="AN35" s="105"/>
      <c r="AO35" s="106"/>
      <c r="AP35" s="106"/>
      <c r="AQ35" s="106"/>
      <c r="AR35" s="106"/>
      <c r="AS35" s="204">
        <f>AM15+AS34</f>
        <v>22.41119866204815</v>
      </c>
      <c r="AT35" s="90" t="s">
        <v>262</v>
      </c>
      <c r="AU35" s="103"/>
      <c r="AW35" s="86" t="s">
        <v>522</v>
      </c>
      <c r="AX35" s="87" t="s">
        <v>528</v>
      </c>
      <c r="AY35" s="88" t="s">
        <v>523</v>
      </c>
      <c r="AZ35" s="105"/>
      <c r="BA35" s="106"/>
      <c r="BB35" s="106"/>
      <c r="BC35" s="106"/>
      <c r="BD35" s="106"/>
      <c r="BE35" s="204">
        <f>AY15+BE34</f>
        <v>21.979428924381072</v>
      </c>
      <c r="BF35" s="90" t="s">
        <v>262</v>
      </c>
      <c r="BG35" s="103"/>
      <c r="BI35" s="86" t="s">
        <v>522</v>
      </c>
      <c r="BJ35" s="87" t="s">
        <v>528</v>
      </c>
      <c r="BK35" s="88" t="s">
        <v>523</v>
      </c>
      <c r="BL35" s="105"/>
      <c r="BM35" s="106"/>
      <c r="BN35" s="106"/>
      <c r="BO35" s="106"/>
      <c r="BP35" s="106"/>
      <c r="BQ35" s="204">
        <f>BK15+BQ34</f>
        <v>22.42678490642831</v>
      </c>
      <c r="BR35" s="90" t="s">
        <v>262</v>
      </c>
      <c r="BS35" s="103"/>
      <c r="BU35" s="86" t="s">
        <v>522</v>
      </c>
      <c r="BV35" s="87" t="s">
        <v>528</v>
      </c>
      <c r="BW35" s="88" t="s">
        <v>523</v>
      </c>
      <c r="BX35" s="105"/>
      <c r="BY35" s="106"/>
      <c r="BZ35" s="106"/>
      <c r="CA35" s="106"/>
      <c r="CB35" s="106"/>
      <c r="CC35" s="204">
        <f>BW15+CC34</f>
        <v>22.298420194985294</v>
      </c>
      <c r="CD35" s="90" t="s">
        <v>262</v>
      </c>
      <c r="CE35" s="103"/>
      <c r="CG35" s="86" t="s">
        <v>522</v>
      </c>
      <c r="CH35" s="87" t="s">
        <v>528</v>
      </c>
      <c r="CI35" s="88" t="s">
        <v>523</v>
      </c>
      <c r="CJ35" s="105"/>
      <c r="CK35" s="106"/>
      <c r="CL35" s="106"/>
      <c r="CM35" s="106"/>
      <c r="CN35" s="106"/>
      <c r="CO35" s="204">
        <f>CI15+CO34</f>
        <v>22.760127134849263</v>
      </c>
      <c r="CP35" s="90" t="s">
        <v>262</v>
      </c>
      <c r="CQ35" s="103"/>
    </row>
    <row r="36" spans="1:95">
      <c r="A36" s="86" t="s">
        <v>524</v>
      </c>
      <c r="B36" s="87" t="s">
        <v>586</v>
      </c>
      <c r="C36" s="88" t="s">
        <v>525</v>
      </c>
      <c r="D36" s="105"/>
      <c r="E36" s="106"/>
      <c r="F36" s="106"/>
      <c r="G36" s="106"/>
      <c r="H36" s="106"/>
      <c r="I36" s="204"/>
      <c r="J36" s="90" t="s">
        <v>262</v>
      </c>
      <c r="K36" s="103"/>
      <c r="M36" s="86" t="s">
        <v>524</v>
      </c>
      <c r="N36" s="87" t="s">
        <v>586</v>
      </c>
      <c r="O36" s="88" t="s">
        <v>525</v>
      </c>
      <c r="P36" s="105"/>
      <c r="Q36" s="106"/>
      <c r="R36" s="106"/>
      <c r="S36" s="106"/>
      <c r="T36" s="106"/>
      <c r="U36" s="204">
        <v>23.81</v>
      </c>
      <c r="V36" s="90" t="s">
        <v>262</v>
      </c>
      <c r="W36" s="103"/>
      <c r="Y36" s="86" t="s">
        <v>524</v>
      </c>
      <c r="Z36" s="87" t="s">
        <v>586</v>
      </c>
      <c r="AA36" s="88" t="s">
        <v>525</v>
      </c>
      <c r="AB36" s="105"/>
      <c r="AC36" s="106"/>
      <c r="AD36" s="106"/>
      <c r="AE36" s="106"/>
      <c r="AF36" s="106"/>
      <c r="AG36" s="204">
        <v>23.16</v>
      </c>
      <c r="AH36" s="90" t="s">
        <v>262</v>
      </c>
      <c r="AI36" s="103"/>
      <c r="AK36" s="86" t="s">
        <v>524</v>
      </c>
      <c r="AL36" s="87" t="s">
        <v>586</v>
      </c>
      <c r="AM36" s="88" t="s">
        <v>525</v>
      </c>
      <c r="AN36" s="105"/>
      <c r="AO36" s="106"/>
      <c r="AP36" s="106"/>
      <c r="AQ36" s="106"/>
      <c r="AR36" s="106"/>
      <c r="AS36" s="204">
        <v>23.111999999999998</v>
      </c>
      <c r="AT36" s="90" t="s">
        <v>262</v>
      </c>
      <c r="AU36" s="103"/>
      <c r="AW36" s="86" t="s">
        <v>524</v>
      </c>
      <c r="AX36" s="87" t="s">
        <v>586</v>
      </c>
      <c r="AY36" s="88" t="s">
        <v>525</v>
      </c>
      <c r="AZ36" s="105"/>
      <c r="BA36" s="106"/>
      <c r="BB36" s="106"/>
      <c r="BC36" s="106"/>
      <c r="BD36" s="106"/>
      <c r="BE36" s="204">
        <v>23.204999999999998</v>
      </c>
      <c r="BF36" s="90" t="s">
        <v>262</v>
      </c>
      <c r="BG36" s="103"/>
      <c r="BI36" s="86" t="s">
        <v>524</v>
      </c>
      <c r="BJ36" s="87" t="s">
        <v>586</v>
      </c>
      <c r="BK36" s="88" t="s">
        <v>525</v>
      </c>
      <c r="BL36" s="105"/>
      <c r="BM36" s="106"/>
      <c r="BN36" s="106"/>
      <c r="BO36" s="106"/>
      <c r="BP36" s="106"/>
      <c r="BQ36" s="204">
        <v>23.18</v>
      </c>
      <c r="BR36" s="90" t="s">
        <v>262</v>
      </c>
      <c r="BS36" s="103"/>
      <c r="BU36" s="86" t="s">
        <v>524</v>
      </c>
      <c r="BV36" s="87" t="s">
        <v>586</v>
      </c>
      <c r="BW36" s="88" t="s">
        <v>525</v>
      </c>
      <c r="BX36" s="105"/>
      <c r="BY36" s="106"/>
      <c r="BZ36" s="106"/>
      <c r="CA36" s="106"/>
      <c r="CB36" s="106"/>
      <c r="CC36" s="204">
        <v>23.2745</v>
      </c>
      <c r="CD36" s="90" t="s">
        <v>262</v>
      </c>
      <c r="CE36" s="103"/>
      <c r="CG36" s="86" t="s">
        <v>524</v>
      </c>
      <c r="CH36" s="87" t="s">
        <v>586</v>
      </c>
      <c r="CI36" s="88" t="s">
        <v>525</v>
      </c>
      <c r="CJ36" s="105"/>
      <c r="CK36" s="106"/>
      <c r="CL36" s="106"/>
      <c r="CM36" s="106"/>
      <c r="CN36" s="106"/>
      <c r="CO36" s="204">
        <v>23.24184</v>
      </c>
      <c r="CP36" s="90" t="s">
        <v>262</v>
      </c>
      <c r="CQ36" s="103"/>
    </row>
    <row r="37" spans="1:95">
      <c r="A37" s="86" t="s">
        <v>526</v>
      </c>
      <c r="B37" s="87"/>
      <c r="C37" s="88" t="s">
        <v>527</v>
      </c>
      <c r="D37" s="105"/>
      <c r="E37" s="106"/>
      <c r="F37" s="106"/>
      <c r="G37" s="106"/>
      <c r="H37" s="106"/>
      <c r="I37" s="204"/>
      <c r="J37" s="90" t="s">
        <v>262</v>
      </c>
      <c r="K37" s="103"/>
      <c r="M37" s="86" t="s">
        <v>526</v>
      </c>
      <c r="N37" s="87"/>
      <c r="O37" s="88" t="s">
        <v>527</v>
      </c>
      <c r="P37" s="105"/>
      <c r="Q37" s="106"/>
      <c r="R37" s="106"/>
      <c r="S37" s="106"/>
      <c r="T37" s="106"/>
      <c r="U37" s="204">
        <f>U36-U35</f>
        <v>-0.25</v>
      </c>
      <c r="V37" s="90" t="s">
        <v>262</v>
      </c>
      <c r="W37" s="103"/>
      <c r="Y37" s="86" t="s">
        <v>526</v>
      </c>
      <c r="Z37" s="87"/>
      <c r="AA37" s="88" t="s">
        <v>527</v>
      </c>
      <c r="AB37" s="105"/>
      <c r="AC37" s="106"/>
      <c r="AD37" s="106"/>
      <c r="AE37" s="106"/>
      <c r="AF37" s="106"/>
      <c r="AG37" s="204">
        <f>AG36-AG35</f>
        <v>1.1830163718528084</v>
      </c>
      <c r="AH37" s="90" t="s">
        <v>262</v>
      </c>
      <c r="AI37" s="103"/>
      <c r="AK37" s="86" t="s">
        <v>526</v>
      </c>
      <c r="AL37" s="87"/>
      <c r="AM37" s="88" t="s">
        <v>527</v>
      </c>
      <c r="AN37" s="105"/>
      <c r="AO37" s="106"/>
      <c r="AP37" s="106"/>
      <c r="AQ37" s="106"/>
      <c r="AR37" s="106"/>
      <c r="AS37" s="204">
        <f>AS36-AS35</f>
        <v>0.70080133795184807</v>
      </c>
      <c r="AT37" s="90" t="s">
        <v>262</v>
      </c>
      <c r="AU37" s="103"/>
      <c r="AW37" s="86" t="s">
        <v>526</v>
      </c>
      <c r="AX37" s="87"/>
      <c r="AY37" s="88" t="s">
        <v>527</v>
      </c>
      <c r="AZ37" s="105"/>
      <c r="BA37" s="106"/>
      <c r="BB37" s="106"/>
      <c r="BC37" s="106"/>
      <c r="BD37" s="106"/>
      <c r="BE37" s="204">
        <f>BE36-BE35</f>
        <v>1.2255710756189266</v>
      </c>
      <c r="BF37" s="90" t="s">
        <v>262</v>
      </c>
      <c r="BG37" s="103"/>
      <c r="BI37" s="86" t="s">
        <v>526</v>
      </c>
      <c r="BJ37" s="87"/>
      <c r="BK37" s="88" t="s">
        <v>527</v>
      </c>
      <c r="BL37" s="105"/>
      <c r="BM37" s="106"/>
      <c r="BN37" s="106"/>
      <c r="BO37" s="106"/>
      <c r="BP37" s="106"/>
      <c r="BQ37" s="204">
        <f>BQ36-BQ35</f>
        <v>0.75321509357168992</v>
      </c>
      <c r="BR37" s="90" t="s">
        <v>262</v>
      </c>
      <c r="BS37" s="103"/>
      <c r="BU37" s="86" t="s">
        <v>526</v>
      </c>
      <c r="BV37" s="87"/>
      <c r="BW37" s="88" t="s">
        <v>527</v>
      </c>
      <c r="BX37" s="105"/>
      <c r="BY37" s="106"/>
      <c r="BZ37" s="106"/>
      <c r="CA37" s="106"/>
      <c r="CB37" s="106"/>
      <c r="CC37" s="204">
        <f>CC36-CC35</f>
        <v>0.97607980501470593</v>
      </c>
      <c r="CD37" s="90" t="s">
        <v>262</v>
      </c>
      <c r="CE37" s="103"/>
      <c r="CG37" s="86" t="s">
        <v>526</v>
      </c>
      <c r="CH37" s="87"/>
      <c r="CI37" s="88" t="s">
        <v>527</v>
      </c>
      <c r="CJ37" s="105"/>
      <c r="CK37" s="106"/>
      <c r="CL37" s="106"/>
      <c r="CM37" s="106"/>
      <c r="CN37" s="106"/>
      <c r="CO37" s="204">
        <f>CO36-CO35</f>
        <v>0.48171286515073675</v>
      </c>
      <c r="CP37" s="90" t="s">
        <v>262</v>
      </c>
      <c r="CQ37" s="103"/>
    </row>
    <row r="38" spans="1:95" ht="8.25" customHeight="1">
      <c r="A38" s="86"/>
      <c r="B38" s="106"/>
      <c r="C38" s="87"/>
      <c r="D38" s="88"/>
      <c r="E38" s="106"/>
      <c r="F38" s="106"/>
      <c r="G38" s="106"/>
      <c r="H38" s="106"/>
      <c r="I38" s="89"/>
      <c r="J38" s="90"/>
      <c r="K38" s="103"/>
      <c r="M38" s="86"/>
      <c r="N38" s="106"/>
      <c r="O38" s="87"/>
      <c r="P38" s="88"/>
      <c r="Q38" s="106"/>
      <c r="R38" s="106"/>
      <c r="S38" s="106"/>
      <c r="T38" s="106"/>
      <c r="U38" s="89"/>
      <c r="V38" s="90"/>
      <c r="W38" s="103"/>
      <c r="Y38" s="86"/>
      <c r="Z38" s="106"/>
      <c r="AA38" s="87"/>
      <c r="AB38" s="88"/>
      <c r="AC38" s="106"/>
      <c r="AD38" s="106"/>
      <c r="AE38" s="106"/>
      <c r="AF38" s="106"/>
      <c r="AG38" s="89"/>
      <c r="AH38" s="90"/>
      <c r="AI38" s="103"/>
      <c r="AK38" s="86"/>
      <c r="AL38" s="106"/>
      <c r="AM38" s="87"/>
      <c r="AN38" s="88"/>
      <c r="AO38" s="106"/>
      <c r="AP38" s="106"/>
      <c r="AQ38" s="106"/>
      <c r="AR38" s="106"/>
      <c r="AS38" s="89"/>
      <c r="AT38" s="90"/>
      <c r="AU38" s="103"/>
      <c r="AW38" s="86"/>
      <c r="AX38" s="106"/>
      <c r="AY38" s="87"/>
      <c r="AZ38" s="88"/>
      <c r="BA38" s="106"/>
      <c r="BB38" s="106"/>
      <c r="BC38" s="106"/>
      <c r="BD38" s="106"/>
      <c r="BE38" s="89"/>
      <c r="BF38" s="90"/>
      <c r="BG38" s="103"/>
      <c r="BI38" s="86"/>
      <c r="BJ38" s="106"/>
      <c r="BK38" s="87"/>
      <c r="BL38" s="88"/>
      <c r="BM38" s="106"/>
      <c r="BN38" s="106"/>
      <c r="BO38" s="106"/>
      <c r="BP38" s="106"/>
      <c r="BQ38" s="89"/>
      <c r="BR38" s="90"/>
      <c r="BS38" s="103"/>
      <c r="BU38" s="86"/>
      <c r="BV38" s="106"/>
      <c r="BW38" s="87"/>
      <c r="BX38" s="88"/>
      <c r="BY38" s="106"/>
      <c r="BZ38" s="106"/>
      <c r="CA38" s="106"/>
      <c r="CB38" s="106"/>
      <c r="CC38" s="89"/>
      <c r="CD38" s="90"/>
      <c r="CE38" s="103"/>
      <c r="CG38" s="86"/>
      <c r="CH38" s="106"/>
      <c r="CI38" s="87"/>
      <c r="CJ38" s="88"/>
      <c r="CK38" s="106"/>
      <c r="CL38" s="106"/>
      <c r="CM38" s="106"/>
      <c r="CN38" s="106"/>
      <c r="CO38" s="89"/>
      <c r="CP38" s="90"/>
      <c r="CQ38" s="103"/>
    </row>
    <row r="39" spans="1:95">
      <c r="A39" s="250" t="s">
        <v>118</v>
      </c>
      <c r="B39" s="216"/>
      <c r="C39" s="251"/>
      <c r="D39" s="252"/>
      <c r="E39" s="216"/>
      <c r="F39" s="252"/>
      <c r="G39" s="252"/>
      <c r="H39" s="252"/>
      <c r="I39" s="216"/>
      <c r="J39" s="110"/>
      <c r="K39" s="111"/>
      <c r="M39" s="250" t="s">
        <v>118</v>
      </c>
      <c r="N39" s="216"/>
      <c r="O39" s="251"/>
      <c r="P39" s="252"/>
      <c r="Q39" s="216"/>
      <c r="R39" s="252"/>
      <c r="S39" s="252"/>
      <c r="T39" s="252"/>
      <c r="U39" s="216"/>
      <c r="V39" s="110"/>
      <c r="W39" s="111"/>
      <c r="Y39" s="250" t="s">
        <v>118</v>
      </c>
      <c r="Z39" s="216"/>
      <c r="AA39" s="251"/>
      <c r="AB39" s="252"/>
      <c r="AC39" s="216"/>
      <c r="AD39" s="252"/>
      <c r="AE39" s="252"/>
      <c r="AF39" s="252"/>
      <c r="AG39" s="216"/>
      <c r="AH39" s="110"/>
      <c r="AI39" s="111"/>
      <c r="AK39" s="250" t="s">
        <v>118</v>
      </c>
      <c r="AL39" s="216"/>
      <c r="AM39" s="251"/>
      <c r="AN39" s="252"/>
      <c r="AO39" s="216"/>
      <c r="AP39" s="252"/>
      <c r="AQ39" s="252"/>
      <c r="AR39" s="252"/>
      <c r="AS39" s="216"/>
      <c r="AT39" s="110"/>
      <c r="AU39" s="111"/>
      <c r="AW39" s="250" t="s">
        <v>118</v>
      </c>
      <c r="AX39" s="216"/>
      <c r="AY39" s="251"/>
      <c r="AZ39" s="252"/>
      <c r="BA39" s="216"/>
      <c r="BB39" s="252"/>
      <c r="BC39" s="252"/>
      <c r="BD39" s="252"/>
      <c r="BE39" s="216"/>
      <c r="BF39" s="110"/>
      <c r="BG39" s="111"/>
      <c r="BI39" s="250" t="s">
        <v>118</v>
      </c>
      <c r="BJ39" s="216"/>
      <c r="BK39" s="251"/>
      <c r="BL39" s="252"/>
      <c r="BM39" s="216"/>
      <c r="BN39" s="252"/>
      <c r="BO39" s="252"/>
      <c r="BP39" s="252"/>
      <c r="BQ39" s="216"/>
      <c r="BR39" s="110"/>
      <c r="BS39" s="111"/>
      <c r="BU39" s="250" t="s">
        <v>118</v>
      </c>
      <c r="BV39" s="216"/>
      <c r="BW39" s="251"/>
      <c r="BX39" s="252"/>
      <c r="BY39" s="216"/>
      <c r="BZ39" s="252"/>
      <c r="CA39" s="252"/>
      <c r="CB39" s="252"/>
      <c r="CC39" s="216"/>
      <c r="CD39" s="110"/>
      <c r="CE39" s="111"/>
      <c r="CG39" s="250" t="s">
        <v>118</v>
      </c>
      <c r="CH39" s="216"/>
      <c r="CI39" s="251"/>
      <c r="CJ39" s="252"/>
      <c r="CK39" s="216"/>
      <c r="CL39" s="252"/>
      <c r="CM39" s="252"/>
      <c r="CN39" s="252"/>
      <c r="CO39" s="216"/>
      <c r="CP39" s="110"/>
      <c r="CQ39" s="111"/>
    </row>
    <row r="40" spans="1:95">
      <c r="A40" s="86" t="s">
        <v>119</v>
      </c>
      <c r="B40" s="87" t="s">
        <v>136</v>
      </c>
      <c r="C40" s="88" t="s">
        <v>584</v>
      </c>
      <c r="D40" s="105"/>
      <c r="E40" s="106"/>
      <c r="F40" s="106"/>
      <c r="G40" s="106"/>
      <c r="H40" s="106"/>
      <c r="I40" s="204"/>
      <c r="J40" s="90" t="s">
        <v>262</v>
      </c>
      <c r="K40" s="103"/>
      <c r="M40" s="86" t="s">
        <v>119</v>
      </c>
      <c r="N40" s="87" t="s">
        <v>136</v>
      </c>
      <c r="O40" s="88" t="s">
        <v>584</v>
      </c>
      <c r="P40" s="105"/>
      <c r="Q40" s="106"/>
      <c r="R40" s="106"/>
      <c r="S40" s="106"/>
      <c r="T40" s="106"/>
      <c r="U40" s="204">
        <v>26.54</v>
      </c>
      <c r="V40" s="90" t="s">
        <v>262</v>
      </c>
      <c r="W40" s="103"/>
      <c r="Y40" s="86" t="s">
        <v>119</v>
      </c>
      <c r="Z40" s="87" t="s">
        <v>136</v>
      </c>
      <c r="AA40" s="88" t="s">
        <v>584</v>
      </c>
      <c r="AB40" s="105"/>
      <c r="AC40" s="106"/>
      <c r="AD40" s="106"/>
      <c r="AE40" s="106"/>
      <c r="AF40" s="106"/>
      <c r="AG40" s="204">
        <v>25.15</v>
      </c>
      <c r="AH40" s="90" t="s">
        <v>262</v>
      </c>
      <c r="AI40" s="103"/>
      <c r="AK40" s="86" t="s">
        <v>119</v>
      </c>
      <c r="AL40" s="87" t="s">
        <v>136</v>
      </c>
      <c r="AM40" s="88" t="s">
        <v>584</v>
      </c>
      <c r="AN40" s="105"/>
      <c r="AO40" s="106"/>
      <c r="AP40" s="106"/>
      <c r="AQ40" s="106"/>
      <c r="AR40" s="106"/>
      <c r="AS40" s="204">
        <v>25.138999999999999</v>
      </c>
      <c r="AT40" s="90" t="s">
        <v>262</v>
      </c>
      <c r="AU40" s="103"/>
      <c r="AW40" s="86" t="s">
        <v>119</v>
      </c>
      <c r="AX40" s="87" t="s">
        <v>136</v>
      </c>
      <c r="AY40" s="88" t="s">
        <v>584</v>
      </c>
      <c r="AZ40" s="105"/>
      <c r="BA40" s="106"/>
      <c r="BB40" s="106"/>
      <c r="BC40" s="106"/>
      <c r="BD40" s="106"/>
      <c r="BE40" s="204">
        <v>25.210460000000001</v>
      </c>
      <c r="BF40" s="90" t="s">
        <v>262</v>
      </c>
      <c r="BG40" s="103"/>
      <c r="BI40" s="86" t="s">
        <v>119</v>
      </c>
      <c r="BJ40" s="87" t="s">
        <v>136</v>
      </c>
      <c r="BK40" s="88" t="s">
        <v>584</v>
      </c>
      <c r="BL40" s="105"/>
      <c r="BM40" s="106"/>
      <c r="BN40" s="106"/>
      <c r="BO40" s="106"/>
      <c r="BP40" s="106"/>
      <c r="BQ40" s="204">
        <v>25.1631</v>
      </c>
      <c r="BR40" s="90" t="s">
        <v>262</v>
      </c>
      <c r="BS40" s="103"/>
      <c r="BU40" s="86" t="s">
        <v>119</v>
      </c>
      <c r="BV40" s="87" t="s">
        <v>136</v>
      </c>
      <c r="BW40" s="88" t="s">
        <v>584</v>
      </c>
      <c r="BX40" s="105"/>
      <c r="BY40" s="106"/>
      <c r="BZ40" s="106"/>
      <c r="CA40" s="106"/>
      <c r="CB40" s="106"/>
      <c r="CC40" s="204">
        <v>25.309000000000001</v>
      </c>
      <c r="CD40" s="90" t="s">
        <v>262</v>
      </c>
      <c r="CE40" s="103"/>
      <c r="CG40" s="86" t="s">
        <v>119</v>
      </c>
      <c r="CH40" s="87" t="s">
        <v>136</v>
      </c>
      <c r="CI40" s="88" t="s">
        <v>584</v>
      </c>
      <c r="CJ40" s="105"/>
      <c r="CK40" s="106"/>
      <c r="CL40" s="106"/>
      <c r="CM40" s="106"/>
      <c r="CN40" s="106"/>
      <c r="CO40" s="204">
        <v>25.255780000000001</v>
      </c>
      <c r="CP40" s="90" t="s">
        <v>262</v>
      </c>
      <c r="CQ40" s="103"/>
    </row>
    <row r="41" spans="1:95">
      <c r="A41" s="86" t="s">
        <v>149</v>
      </c>
      <c r="B41" s="87" t="s">
        <v>120</v>
      </c>
      <c r="C41" s="88" t="s">
        <v>521</v>
      </c>
      <c r="D41" s="105"/>
      <c r="E41" s="106"/>
      <c r="F41" s="106"/>
      <c r="G41" s="106"/>
      <c r="H41" s="106"/>
      <c r="I41" s="204"/>
      <c r="J41" s="90" t="s">
        <v>262</v>
      </c>
      <c r="K41" s="103"/>
      <c r="M41" s="86" t="s">
        <v>149</v>
      </c>
      <c r="N41" s="87" t="s">
        <v>120</v>
      </c>
      <c r="O41" s="88" t="s">
        <v>521</v>
      </c>
      <c r="P41" s="105"/>
      <c r="Q41" s="106"/>
      <c r="R41" s="106"/>
      <c r="S41" s="106"/>
      <c r="T41" s="106"/>
      <c r="U41" s="204">
        <f>U40-U35</f>
        <v>2.4800000000000004</v>
      </c>
      <c r="V41" s="90" t="s">
        <v>262</v>
      </c>
      <c r="W41" s="103"/>
      <c r="Y41" s="86" t="s">
        <v>149</v>
      </c>
      <c r="Z41" s="87" t="s">
        <v>120</v>
      </c>
      <c r="AA41" s="88" t="s">
        <v>521</v>
      </c>
      <c r="AB41" s="105"/>
      <c r="AC41" s="106"/>
      <c r="AD41" s="106"/>
      <c r="AE41" s="106"/>
      <c r="AF41" s="106"/>
      <c r="AG41" s="204">
        <f>AG40-AG35</f>
        <v>3.1730163718528068</v>
      </c>
      <c r="AH41" s="90" t="s">
        <v>262</v>
      </c>
      <c r="AI41" s="103"/>
      <c r="AK41" s="86" t="s">
        <v>149</v>
      </c>
      <c r="AL41" s="87" t="s">
        <v>120</v>
      </c>
      <c r="AM41" s="88" t="s">
        <v>521</v>
      </c>
      <c r="AN41" s="105"/>
      <c r="AO41" s="106"/>
      <c r="AP41" s="106"/>
      <c r="AQ41" s="106"/>
      <c r="AR41" s="106"/>
      <c r="AS41" s="204">
        <f>AS40-AS35</f>
        <v>2.7278013379518491</v>
      </c>
      <c r="AT41" s="90" t="s">
        <v>262</v>
      </c>
      <c r="AU41" s="103"/>
      <c r="AW41" s="86" t="s">
        <v>149</v>
      </c>
      <c r="AX41" s="87" t="s">
        <v>120</v>
      </c>
      <c r="AY41" s="88" t="s">
        <v>521</v>
      </c>
      <c r="AZ41" s="105"/>
      <c r="BA41" s="106"/>
      <c r="BB41" s="106"/>
      <c r="BC41" s="106"/>
      <c r="BD41" s="106"/>
      <c r="BE41" s="204">
        <f>BE40-BE35</f>
        <v>3.2310310756189295</v>
      </c>
      <c r="BF41" s="90" t="s">
        <v>262</v>
      </c>
      <c r="BG41" s="103"/>
      <c r="BI41" s="86" t="s">
        <v>149</v>
      </c>
      <c r="BJ41" s="87" t="s">
        <v>120</v>
      </c>
      <c r="BK41" s="88" t="s">
        <v>521</v>
      </c>
      <c r="BL41" s="105"/>
      <c r="BM41" s="106"/>
      <c r="BN41" s="106"/>
      <c r="BO41" s="106"/>
      <c r="BP41" s="106"/>
      <c r="BQ41" s="204">
        <f>BQ40-BQ35</f>
        <v>2.7363150935716902</v>
      </c>
      <c r="BR41" s="90" t="s">
        <v>262</v>
      </c>
      <c r="BS41" s="103"/>
      <c r="BU41" s="86" t="s">
        <v>149</v>
      </c>
      <c r="BV41" s="87" t="s">
        <v>120</v>
      </c>
      <c r="BW41" s="88" t="s">
        <v>521</v>
      </c>
      <c r="BX41" s="105"/>
      <c r="BY41" s="106"/>
      <c r="BZ41" s="106"/>
      <c r="CA41" s="106"/>
      <c r="CB41" s="106"/>
      <c r="CC41" s="204">
        <f>CC40-CC35</f>
        <v>3.0105798050147072</v>
      </c>
      <c r="CD41" s="90" t="s">
        <v>262</v>
      </c>
      <c r="CE41" s="103"/>
      <c r="CG41" s="86" t="s">
        <v>149</v>
      </c>
      <c r="CH41" s="87" t="s">
        <v>120</v>
      </c>
      <c r="CI41" s="88" t="s">
        <v>521</v>
      </c>
      <c r="CJ41" s="105"/>
      <c r="CK41" s="106"/>
      <c r="CL41" s="106"/>
      <c r="CM41" s="106"/>
      <c r="CN41" s="106"/>
      <c r="CO41" s="204">
        <f>CO40-CO35</f>
        <v>2.4956528651507384</v>
      </c>
      <c r="CP41" s="90" t="s">
        <v>262</v>
      </c>
      <c r="CQ41" s="103"/>
    </row>
    <row r="42" spans="1:95">
      <c r="A42" s="86" t="s">
        <v>121</v>
      </c>
      <c r="B42" s="87" t="s">
        <v>122</v>
      </c>
      <c r="C42" s="88" t="s">
        <v>438</v>
      </c>
      <c r="D42" s="105"/>
      <c r="E42" s="106"/>
      <c r="F42" s="106"/>
      <c r="G42" s="106"/>
      <c r="H42" s="106"/>
      <c r="I42" s="215"/>
      <c r="J42" s="90" t="s">
        <v>426</v>
      </c>
      <c r="K42" s="103"/>
      <c r="M42" s="86" t="s">
        <v>121</v>
      </c>
      <c r="N42" s="87" t="s">
        <v>122</v>
      </c>
      <c r="O42" s="88" t="s">
        <v>438</v>
      </c>
      <c r="P42" s="105"/>
      <c r="Q42" s="106"/>
      <c r="R42" s="106"/>
      <c r="S42" s="106"/>
      <c r="T42" s="106"/>
      <c r="U42" s="215">
        <f>0.01745*U41*U17</f>
        <v>116.11946148000003</v>
      </c>
      <c r="V42" s="90" t="s">
        <v>426</v>
      </c>
      <c r="W42" s="103"/>
      <c r="Y42" s="86" t="s">
        <v>121</v>
      </c>
      <c r="Z42" s="87" t="s">
        <v>122</v>
      </c>
      <c r="AA42" s="88" t="s">
        <v>438</v>
      </c>
      <c r="AB42" s="105"/>
      <c r="AC42" s="106"/>
      <c r="AD42" s="106"/>
      <c r="AE42" s="106"/>
      <c r="AF42" s="106"/>
      <c r="AG42" s="215">
        <f>0.01745*AG41*AG17</f>
        <v>214.41697795499991</v>
      </c>
      <c r="AH42" s="90" t="s">
        <v>426</v>
      </c>
      <c r="AI42" s="103"/>
      <c r="AK42" s="86" t="s">
        <v>121</v>
      </c>
      <c r="AL42" s="87" t="s">
        <v>122</v>
      </c>
      <c r="AM42" s="88" t="s">
        <v>438</v>
      </c>
      <c r="AN42" s="105"/>
      <c r="AO42" s="106"/>
      <c r="AP42" s="106"/>
      <c r="AQ42" s="106"/>
      <c r="AR42" s="106"/>
      <c r="AS42" s="215">
        <f>0.01745*AS41*AS17</f>
        <v>187.98815863099995</v>
      </c>
      <c r="AT42" s="90" t="s">
        <v>426</v>
      </c>
      <c r="AU42" s="103"/>
      <c r="AW42" s="86" t="s">
        <v>121</v>
      </c>
      <c r="AX42" s="87" t="s">
        <v>122</v>
      </c>
      <c r="AY42" s="88" t="s">
        <v>438</v>
      </c>
      <c r="AZ42" s="105"/>
      <c r="BA42" s="106"/>
      <c r="BB42" s="106"/>
      <c r="BC42" s="106"/>
      <c r="BD42" s="106"/>
      <c r="BE42" s="215">
        <f>0.01745*BE41*BE17</f>
        <v>211.77283166888986</v>
      </c>
      <c r="BF42" s="90" t="s">
        <v>426</v>
      </c>
      <c r="BG42" s="103"/>
      <c r="BI42" s="86" t="s">
        <v>121</v>
      </c>
      <c r="BJ42" s="87" t="s">
        <v>122</v>
      </c>
      <c r="BK42" s="88" t="s">
        <v>438</v>
      </c>
      <c r="BL42" s="105"/>
      <c r="BM42" s="106"/>
      <c r="BN42" s="106"/>
      <c r="BO42" s="106"/>
      <c r="BP42" s="106"/>
      <c r="BQ42" s="215">
        <f>0.01745*BQ41*BQ17</f>
        <v>183.0155085445499</v>
      </c>
      <c r="BR42" s="90" t="s">
        <v>426</v>
      </c>
      <c r="BS42" s="103"/>
      <c r="BU42" s="86" t="s">
        <v>121</v>
      </c>
      <c r="BV42" s="87" t="s">
        <v>122</v>
      </c>
      <c r="BW42" s="88" t="s">
        <v>438</v>
      </c>
      <c r="BX42" s="105"/>
      <c r="BY42" s="106"/>
      <c r="BZ42" s="106"/>
      <c r="CA42" s="106"/>
      <c r="CB42" s="106"/>
      <c r="CC42" s="215">
        <f>0.01745*CC41*CC17</f>
        <v>188.27671462300015</v>
      </c>
      <c r="CD42" s="90" t="s">
        <v>426</v>
      </c>
      <c r="CE42" s="103"/>
      <c r="CG42" s="86" t="s">
        <v>121</v>
      </c>
      <c r="CH42" s="87" t="s">
        <v>122</v>
      </c>
      <c r="CI42" s="88" t="s">
        <v>438</v>
      </c>
      <c r="CJ42" s="105"/>
      <c r="CK42" s="106"/>
      <c r="CL42" s="106"/>
      <c r="CM42" s="106"/>
      <c r="CN42" s="106"/>
      <c r="CO42" s="215">
        <f>0.01745*CO41*CO17</f>
        <v>159.4194749554801</v>
      </c>
      <c r="CP42" s="90" t="s">
        <v>426</v>
      </c>
      <c r="CQ42" s="103"/>
    </row>
    <row r="43" spans="1:95">
      <c r="A43" s="86" t="s">
        <v>437</v>
      </c>
      <c r="B43" s="87" t="s">
        <v>137</v>
      </c>
      <c r="C43" s="88" t="s">
        <v>150</v>
      </c>
      <c r="D43" s="105"/>
      <c r="E43" s="106"/>
      <c r="F43" s="106"/>
      <c r="G43" s="106"/>
      <c r="H43" s="106"/>
      <c r="I43" s="207"/>
      <c r="J43" s="90" t="s">
        <v>123</v>
      </c>
      <c r="K43" s="103"/>
      <c r="M43" s="86" t="s">
        <v>437</v>
      </c>
      <c r="N43" s="87" t="s">
        <v>137</v>
      </c>
      <c r="O43" s="88" t="s">
        <v>150</v>
      </c>
      <c r="P43" s="105"/>
      <c r="Q43" s="106"/>
      <c r="R43" s="106"/>
      <c r="S43" s="106"/>
      <c r="T43" s="106"/>
      <c r="U43" s="207">
        <f>U15/U42</f>
        <v>-12.940197800166374</v>
      </c>
      <c r="V43" s="90" t="s">
        <v>123</v>
      </c>
      <c r="W43" s="103"/>
      <c r="Y43" s="86" t="s">
        <v>437</v>
      </c>
      <c r="Z43" s="87" t="s">
        <v>137</v>
      </c>
      <c r="AA43" s="88" t="s">
        <v>150</v>
      </c>
      <c r="AB43" s="105"/>
      <c r="AC43" s="106"/>
      <c r="AD43" s="106"/>
      <c r="AE43" s="106"/>
      <c r="AF43" s="106"/>
      <c r="AG43" s="207">
        <f>AG15/AG42</f>
        <v>-0.91541584939786724</v>
      </c>
      <c r="AH43" s="90" t="s">
        <v>123</v>
      </c>
      <c r="AI43" s="103"/>
      <c r="AK43" s="86" t="s">
        <v>437</v>
      </c>
      <c r="AL43" s="87" t="s">
        <v>137</v>
      </c>
      <c r="AM43" s="88" t="s">
        <v>150</v>
      </c>
      <c r="AN43" s="105"/>
      <c r="AO43" s="106"/>
      <c r="AP43" s="106"/>
      <c r="AQ43" s="106"/>
      <c r="AR43" s="106"/>
      <c r="AS43" s="207">
        <f>AS15/AS42</f>
        <v>-1.2933841246738254</v>
      </c>
      <c r="AT43" s="90" t="s">
        <v>123</v>
      </c>
      <c r="AU43" s="103"/>
      <c r="AW43" s="86" t="s">
        <v>437</v>
      </c>
      <c r="AX43" s="87" t="s">
        <v>137</v>
      </c>
      <c r="AY43" s="88" t="s">
        <v>150</v>
      </c>
      <c r="AZ43" s="105"/>
      <c r="BA43" s="106"/>
      <c r="BB43" s="106"/>
      <c r="BC43" s="106"/>
      <c r="BD43" s="106"/>
      <c r="BE43" s="207">
        <f>BE15/BE42</f>
        <v>0.7709789717279647</v>
      </c>
      <c r="BF43" s="90" t="s">
        <v>123</v>
      </c>
      <c r="BG43" s="103"/>
      <c r="BI43" s="86" t="s">
        <v>437</v>
      </c>
      <c r="BJ43" s="87" t="s">
        <v>137</v>
      </c>
      <c r="BK43" s="88" t="s">
        <v>150</v>
      </c>
      <c r="BL43" s="105"/>
      <c r="BM43" s="106"/>
      <c r="BN43" s="106"/>
      <c r="BO43" s="106"/>
      <c r="BP43" s="106"/>
      <c r="BQ43" s="207">
        <f>BQ15/BQ42</f>
        <v>0.63607833525027613</v>
      </c>
      <c r="BR43" s="90" t="s">
        <v>123</v>
      </c>
      <c r="BS43" s="103"/>
      <c r="BU43" s="86" t="s">
        <v>437</v>
      </c>
      <c r="BV43" s="87" t="s">
        <v>137</v>
      </c>
      <c r="BW43" s="88" t="s">
        <v>150</v>
      </c>
      <c r="BX43" s="105"/>
      <c r="BY43" s="106"/>
      <c r="BZ43" s="106"/>
      <c r="CA43" s="106"/>
      <c r="CB43" s="106"/>
      <c r="CC43" s="207">
        <f>CC15/CC42</f>
        <v>0.84537325987818157</v>
      </c>
      <c r="CD43" s="90" t="s">
        <v>123</v>
      </c>
      <c r="CE43" s="103"/>
      <c r="CG43" s="86" t="s">
        <v>437</v>
      </c>
      <c r="CH43" s="87" t="s">
        <v>137</v>
      </c>
      <c r="CI43" s="88" t="s">
        <v>150</v>
      </c>
      <c r="CJ43" s="105"/>
      <c r="CK43" s="106"/>
      <c r="CL43" s="106"/>
      <c r="CM43" s="106"/>
      <c r="CN43" s="106"/>
      <c r="CO43" s="207">
        <f>CO15/CO42</f>
        <v>0.70445533728775567</v>
      </c>
      <c r="CP43" s="90" t="s">
        <v>123</v>
      </c>
      <c r="CQ43" s="103"/>
    </row>
    <row r="44" spans="1:95" ht="8.25" customHeight="1">
      <c r="A44" s="86"/>
      <c r="B44" s="106"/>
      <c r="C44" s="87"/>
      <c r="D44" s="88"/>
      <c r="E44" s="106"/>
      <c r="F44" s="106"/>
      <c r="G44" s="106"/>
      <c r="H44" s="106"/>
      <c r="I44" s="89"/>
      <c r="J44" s="90"/>
      <c r="K44" s="103"/>
      <c r="M44" s="86"/>
      <c r="N44" s="106"/>
      <c r="O44" s="87"/>
      <c r="P44" s="88"/>
      <c r="Q44" s="106"/>
      <c r="R44" s="106"/>
      <c r="S44" s="106"/>
      <c r="T44" s="106"/>
      <c r="U44" s="89"/>
      <c r="V44" s="90"/>
      <c r="W44" s="103"/>
      <c r="Y44" s="86"/>
      <c r="Z44" s="106"/>
      <c r="AA44" s="87"/>
      <c r="AB44" s="88"/>
      <c r="AC44" s="106"/>
      <c r="AD44" s="106"/>
      <c r="AE44" s="106"/>
      <c r="AF44" s="106"/>
      <c r="AG44" s="89"/>
      <c r="AH44" s="90"/>
      <c r="AI44" s="103"/>
      <c r="AK44" s="86"/>
      <c r="AL44" s="106"/>
      <c r="AM44" s="87"/>
      <c r="AN44" s="88"/>
      <c r="AO44" s="106"/>
      <c r="AP44" s="106"/>
      <c r="AQ44" s="106"/>
      <c r="AR44" s="106"/>
      <c r="AS44" s="89"/>
      <c r="AT44" s="90"/>
      <c r="AU44" s="103"/>
      <c r="AW44" s="86"/>
      <c r="AX44" s="106"/>
      <c r="AY44" s="87"/>
      <c r="AZ44" s="88"/>
      <c r="BA44" s="106"/>
      <c r="BB44" s="106"/>
      <c r="BC44" s="106"/>
      <c r="BD44" s="106"/>
      <c r="BE44" s="89"/>
      <c r="BF44" s="90"/>
      <c r="BG44" s="103"/>
      <c r="BI44" s="86"/>
      <c r="BJ44" s="106"/>
      <c r="BK44" s="87"/>
      <c r="BL44" s="88"/>
      <c r="BM44" s="106"/>
      <c r="BN44" s="106"/>
      <c r="BO44" s="106"/>
      <c r="BP44" s="106"/>
      <c r="BQ44" s="89"/>
      <c r="BR44" s="90"/>
      <c r="BS44" s="103"/>
      <c r="BU44" s="86"/>
      <c r="BV44" s="106"/>
      <c r="BW44" s="87"/>
      <c r="BX44" s="88"/>
      <c r="BY44" s="106"/>
      <c r="BZ44" s="106"/>
      <c r="CA44" s="106"/>
      <c r="CB44" s="106"/>
      <c r="CC44" s="89"/>
      <c r="CD44" s="90"/>
      <c r="CE44" s="103"/>
      <c r="CG44" s="86"/>
      <c r="CH44" s="106"/>
      <c r="CI44" s="87"/>
      <c r="CJ44" s="88"/>
      <c r="CK44" s="106"/>
      <c r="CL44" s="106"/>
      <c r="CM44" s="106"/>
      <c r="CN44" s="106"/>
      <c r="CO44" s="89"/>
      <c r="CP44" s="90"/>
      <c r="CQ44" s="103"/>
    </row>
    <row r="45" spans="1:95">
      <c r="A45" s="250" t="s">
        <v>124</v>
      </c>
      <c r="B45" s="252"/>
      <c r="C45" s="252"/>
      <c r="D45" s="252"/>
      <c r="E45" s="252"/>
      <c r="F45" s="252"/>
      <c r="G45" s="252"/>
      <c r="H45" s="252"/>
      <c r="I45" s="109"/>
      <c r="J45" s="110"/>
      <c r="K45" s="111"/>
      <c r="M45" s="250" t="s">
        <v>124</v>
      </c>
      <c r="N45" s="252"/>
      <c r="O45" s="252"/>
      <c r="P45" s="252"/>
      <c r="Q45" s="252"/>
      <c r="R45" s="252"/>
      <c r="S45" s="252"/>
      <c r="T45" s="252"/>
      <c r="U45" s="109"/>
      <c r="V45" s="110"/>
      <c r="W45" s="111"/>
      <c r="Y45" s="250" t="s">
        <v>124</v>
      </c>
      <c r="Z45" s="252"/>
      <c r="AA45" s="252"/>
      <c r="AB45" s="252"/>
      <c r="AC45" s="252"/>
      <c r="AD45" s="252"/>
      <c r="AE45" s="252"/>
      <c r="AF45" s="252"/>
      <c r="AG45" s="109"/>
      <c r="AH45" s="110"/>
      <c r="AI45" s="111"/>
      <c r="AK45" s="250" t="s">
        <v>124</v>
      </c>
      <c r="AL45" s="252"/>
      <c r="AM45" s="252"/>
      <c r="AN45" s="252"/>
      <c r="AO45" s="252"/>
      <c r="AP45" s="252"/>
      <c r="AQ45" s="252"/>
      <c r="AR45" s="252"/>
      <c r="AS45" s="109"/>
      <c r="AT45" s="110"/>
      <c r="AU45" s="111"/>
      <c r="AW45" s="250" t="s">
        <v>124</v>
      </c>
      <c r="AX45" s="252"/>
      <c r="AY45" s="252"/>
      <c r="AZ45" s="252"/>
      <c r="BA45" s="252"/>
      <c r="BB45" s="252"/>
      <c r="BC45" s="252"/>
      <c r="BD45" s="252"/>
      <c r="BE45" s="109"/>
      <c r="BF45" s="110"/>
      <c r="BG45" s="111"/>
      <c r="BI45" s="250" t="s">
        <v>124</v>
      </c>
      <c r="BJ45" s="252"/>
      <c r="BK45" s="252"/>
      <c r="BL45" s="252"/>
      <c r="BM45" s="252"/>
      <c r="BN45" s="252"/>
      <c r="BO45" s="252"/>
      <c r="BP45" s="252"/>
      <c r="BQ45" s="109"/>
      <c r="BR45" s="110"/>
      <c r="BS45" s="111"/>
      <c r="BU45" s="250" t="s">
        <v>124</v>
      </c>
      <c r="BV45" s="252"/>
      <c r="BW45" s="252"/>
      <c r="BX45" s="252"/>
      <c r="BY45" s="252"/>
      <c r="BZ45" s="252"/>
      <c r="CA45" s="252"/>
      <c r="CB45" s="252"/>
      <c r="CC45" s="109"/>
      <c r="CD45" s="110"/>
      <c r="CE45" s="111"/>
      <c r="CG45" s="250" t="s">
        <v>124</v>
      </c>
      <c r="CH45" s="252"/>
      <c r="CI45" s="252"/>
      <c r="CJ45" s="252"/>
      <c r="CK45" s="252"/>
      <c r="CL45" s="252"/>
      <c r="CM45" s="252"/>
      <c r="CN45" s="252"/>
      <c r="CO45" s="109"/>
      <c r="CP45" s="110"/>
      <c r="CQ45" s="111"/>
    </row>
    <row r="46" spans="1:95">
      <c r="A46" s="86" t="s">
        <v>432</v>
      </c>
      <c r="B46" s="87" t="s">
        <v>125</v>
      </c>
      <c r="C46" s="253"/>
      <c r="D46" s="89" t="s">
        <v>262</v>
      </c>
      <c r="E46" s="87" t="s">
        <v>126</v>
      </c>
      <c r="F46" s="253"/>
      <c r="G46" s="89" t="s">
        <v>428</v>
      </c>
      <c r="H46" s="87"/>
      <c r="I46" s="91"/>
      <c r="J46" s="90" t="s">
        <v>262</v>
      </c>
      <c r="K46" s="103"/>
      <c r="M46" s="86" t="s">
        <v>432</v>
      </c>
      <c r="N46" s="87" t="s">
        <v>125</v>
      </c>
      <c r="O46" s="253"/>
      <c r="P46" s="89" t="s">
        <v>262</v>
      </c>
      <c r="Q46" s="87" t="s">
        <v>126</v>
      </c>
      <c r="R46" s="253"/>
      <c r="S46" s="89" t="s">
        <v>428</v>
      </c>
      <c r="T46" s="87"/>
      <c r="U46" s="91"/>
      <c r="V46" s="90" t="s">
        <v>262</v>
      </c>
      <c r="W46" s="103"/>
      <c r="Y46" s="86" t="s">
        <v>432</v>
      </c>
      <c r="Z46" s="87" t="s">
        <v>125</v>
      </c>
      <c r="AA46" s="253"/>
      <c r="AB46" s="89" t="s">
        <v>262</v>
      </c>
      <c r="AC46" s="87" t="s">
        <v>126</v>
      </c>
      <c r="AD46" s="253"/>
      <c r="AE46" s="89" t="s">
        <v>428</v>
      </c>
      <c r="AF46" s="87"/>
      <c r="AG46" s="91"/>
      <c r="AH46" s="90" t="s">
        <v>262</v>
      </c>
      <c r="AI46" s="103"/>
      <c r="AK46" s="86" t="s">
        <v>432</v>
      </c>
      <c r="AL46" s="87" t="s">
        <v>125</v>
      </c>
      <c r="AM46" s="253"/>
      <c r="AN46" s="89" t="s">
        <v>262</v>
      </c>
      <c r="AO46" s="87" t="s">
        <v>126</v>
      </c>
      <c r="AP46" s="253"/>
      <c r="AQ46" s="89" t="s">
        <v>428</v>
      </c>
      <c r="AR46" s="87"/>
      <c r="AS46" s="91"/>
      <c r="AT46" s="90" t="s">
        <v>262</v>
      </c>
      <c r="AU46" s="103"/>
      <c r="AW46" s="86" t="s">
        <v>432</v>
      </c>
      <c r="AX46" s="87" t="s">
        <v>125</v>
      </c>
      <c r="AY46" s="253"/>
      <c r="AZ46" s="89" t="s">
        <v>262</v>
      </c>
      <c r="BA46" s="87" t="s">
        <v>126</v>
      </c>
      <c r="BB46" s="253"/>
      <c r="BC46" s="89" t="s">
        <v>428</v>
      </c>
      <c r="BD46" s="87"/>
      <c r="BE46" s="91"/>
      <c r="BF46" s="90" t="s">
        <v>262</v>
      </c>
      <c r="BG46" s="103"/>
      <c r="BI46" s="86" t="s">
        <v>432</v>
      </c>
      <c r="BJ46" s="87" t="s">
        <v>125</v>
      </c>
      <c r="BK46" s="253"/>
      <c r="BL46" s="89" t="s">
        <v>262</v>
      </c>
      <c r="BM46" s="87" t="s">
        <v>126</v>
      </c>
      <c r="BN46" s="253"/>
      <c r="BO46" s="89" t="s">
        <v>428</v>
      </c>
      <c r="BP46" s="87"/>
      <c r="BQ46" s="91"/>
      <c r="BR46" s="90" t="s">
        <v>262</v>
      </c>
      <c r="BS46" s="103"/>
      <c r="BU46" s="86" t="s">
        <v>432</v>
      </c>
      <c r="BV46" s="87" t="s">
        <v>125</v>
      </c>
      <c r="BW46" s="253"/>
      <c r="BX46" s="89" t="s">
        <v>262</v>
      </c>
      <c r="BY46" s="87" t="s">
        <v>126</v>
      </c>
      <c r="BZ46" s="253"/>
      <c r="CA46" s="89" t="s">
        <v>428</v>
      </c>
      <c r="CB46" s="87"/>
      <c r="CC46" s="91"/>
      <c r="CD46" s="90" t="s">
        <v>262</v>
      </c>
      <c r="CE46" s="103"/>
      <c r="CG46" s="86" t="s">
        <v>432</v>
      </c>
      <c r="CH46" s="87" t="s">
        <v>125</v>
      </c>
      <c r="CI46" s="253"/>
      <c r="CJ46" s="89" t="s">
        <v>262</v>
      </c>
      <c r="CK46" s="87" t="s">
        <v>126</v>
      </c>
      <c r="CL46" s="253"/>
      <c r="CM46" s="89" t="s">
        <v>428</v>
      </c>
      <c r="CN46" s="87"/>
      <c r="CO46" s="91"/>
      <c r="CP46" s="90" t="s">
        <v>262</v>
      </c>
      <c r="CQ46" s="103"/>
    </row>
    <row r="47" spans="1:95">
      <c r="A47" s="86" t="s">
        <v>429</v>
      </c>
      <c r="B47" s="87" t="s">
        <v>125</v>
      </c>
      <c r="C47" s="253"/>
      <c r="D47" s="89" t="s">
        <v>262</v>
      </c>
      <c r="E47" s="87" t="s">
        <v>126</v>
      </c>
      <c r="F47" s="253"/>
      <c r="G47" s="254" t="s">
        <v>428</v>
      </c>
      <c r="H47" s="87"/>
      <c r="I47" s="214"/>
      <c r="J47" s="90" t="s">
        <v>262</v>
      </c>
      <c r="K47" s="103"/>
      <c r="M47" s="86" t="s">
        <v>429</v>
      </c>
      <c r="N47" s="87" t="s">
        <v>125</v>
      </c>
      <c r="O47" s="253"/>
      <c r="P47" s="89" t="s">
        <v>262</v>
      </c>
      <c r="Q47" s="87" t="s">
        <v>126</v>
      </c>
      <c r="R47" s="253"/>
      <c r="S47" s="254" t="s">
        <v>428</v>
      </c>
      <c r="T47" s="87"/>
      <c r="U47" s="214"/>
      <c r="V47" s="90" t="s">
        <v>262</v>
      </c>
      <c r="W47" s="103"/>
      <c r="Y47" s="86" t="s">
        <v>429</v>
      </c>
      <c r="Z47" s="87" t="s">
        <v>125</v>
      </c>
      <c r="AA47" s="253"/>
      <c r="AB47" s="89" t="s">
        <v>262</v>
      </c>
      <c r="AC47" s="87" t="s">
        <v>126</v>
      </c>
      <c r="AD47" s="253"/>
      <c r="AE47" s="254" t="s">
        <v>428</v>
      </c>
      <c r="AF47" s="87"/>
      <c r="AG47" s="214"/>
      <c r="AH47" s="90" t="s">
        <v>262</v>
      </c>
      <c r="AI47" s="103"/>
      <c r="AK47" s="86" t="s">
        <v>429</v>
      </c>
      <c r="AL47" s="87" t="s">
        <v>125</v>
      </c>
      <c r="AM47" s="253"/>
      <c r="AN47" s="89" t="s">
        <v>262</v>
      </c>
      <c r="AO47" s="87" t="s">
        <v>126</v>
      </c>
      <c r="AP47" s="253"/>
      <c r="AQ47" s="254" t="s">
        <v>428</v>
      </c>
      <c r="AR47" s="87"/>
      <c r="AS47" s="214"/>
      <c r="AT47" s="90" t="s">
        <v>262</v>
      </c>
      <c r="AU47" s="103"/>
      <c r="AW47" s="86" t="s">
        <v>429</v>
      </c>
      <c r="AX47" s="87" t="s">
        <v>125</v>
      </c>
      <c r="AY47" s="253"/>
      <c r="AZ47" s="89" t="s">
        <v>262</v>
      </c>
      <c r="BA47" s="87" t="s">
        <v>126</v>
      </c>
      <c r="BB47" s="253"/>
      <c r="BC47" s="254" t="s">
        <v>428</v>
      </c>
      <c r="BD47" s="87"/>
      <c r="BE47" s="214"/>
      <c r="BF47" s="90" t="s">
        <v>262</v>
      </c>
      <c r="BG47" s="103"/>
      <c r="BI47" s="86" t="s">
        <v>429</v>
      </c>
      <c r="BJ47" s="87" t="s">
        <v>125</v>
      </c>
      <c r="BK47" s="253"/>
      <c r="BL47" s="89" t="s">
        <v>262</v>
      </c>
      <c r="BM47" s="87" t="s">
        <v>126</v>
      </c>
      <c r="BN47" s="253"/>
      <c r="BO47" s="254" t="s">
        <v>428</v>
      </c>
      <c r="BP47" s="87"/>
      <c r="BQ47" s="214"/>
      <c r="BR47" s="90" t="s">
        <v>262</v>
      </c>
      <c r="BS47" s="103"/>
      <c r="BU47" s="86" t="s">
        <v>429</v>
      </c>
      <c r="BV47" s="87" t="s">
        <v>125</v>
      </c>
      <c r="BW47" s="253"/>
      <c r="BX47" s="89" t="s">
        <v>262</v>
      </c>
      <c r="BY47" s="87" t="s">
        <v>126</v>
      </c>
      <c r="BZ47" s="253"/>
      <c r="CA47" s="254" t="s">
        <v>428</v>
      </c>
      <c r="CB47" s="87"/>
      <c r="CC47" s="214"/>
      <c r="CD47" s="90" t="s">
        <v>262</v>
      </c>
      <c r="CE47" s="103"/>
      <c r="CG47" s="86" t="s">
        <v>429</v>
      </c>
      <c r="CH47" s="87" t="s">
        <v>125</v>
      </c>
      <c r="CI47" s="253"/>
      <c r="CJ47" s="89" t="s">
        <v>262</v>
      </c>
      <c r="CK47" s="87" t="s">
        <v>126</v>
      </c>
      <c r="CL47" s="253"/>
      <c r="CM47" s="254" t="s">
        <v>428</v>
      </c>
      <c r="CN47" s="87"/>
      <c r="CO47" s="214"/>
      <c r="CP47" s="90" t="s">
        <v>262</v>
      </c>
      <c r="CQ47" s="103"/>
    </row>
    <row r="48" spans="1:95">
      <c r="A48" s="86" t="s">
        <v>138</v>
      </c>
      <c r="B48" s="87" t="s">
        <v>125</v>
      </c>
      <c r="C48" s="253"/>
      <c r="D48" s="89" t="s">
        <v>262</v>
      </c>
      <c r="E48" s="87" t="s">
        <v>126</v>
      </c>
      <c r="F48" s="253"/>
      <c r="G48" s="89" t="s">
        <v>427</v>
      </c>
      <c r="H48" s="87"/>
      <c r="I48" s="91"/>
      <c r="J48" s="90" t="s">
        <v>262</v>
      </c>
      <c r="K48" s="103"/>
      <c r="M48" s="86" t="s">
        <v>138</v>
      </c>
      <c r="N48" s="87" t="s">
        <v>125</v>
      </c>
      <c r="O48" s="253"/>
      <c r="P48" s="89" t="s">
        <v>262</v>
      </c>
      <c r="Q48" s="87" t="s">
        <v>126</v>
      </c>
      <c r="R48" s="253"/>
      <c r="S48" s="89" t="s">
        <v>427</v>
      </c>
      <c r="T48" s="87"/>
      <c r="U48" s="91"/>
      <c r="V48" s="90" t="s">
        <v>262</v>
      </c>
      <c r="W48" s="103"/>
      <c r="Y48" s="86" t="s">
        <v>138</v>
      </c>
      <c r="Z48" s="87" t="s">
        <v>125</v>
      </c>
      <c r="AA48" s="253"/>
      <c r="AB48" s="89" t="s">
        <v>262</v>
      </c>
      <c r="AC48" s="87" t="s">
        <v>126</v>
      </c>
      <c r="AD48" s="253"/>
      <c r="AE48" s="89" t="s">
        <v>427</v>
      </c>
      <c r="AF48" s="87"/>
      <c r="AG48" s="91"/>
      <c r="AH48" s="90" t="s">
        <v>262</v>
      </c>
      <c r="AI48" s="103"/>
      <c r="AK48" s="86" t="s">
        <v>138</v>
      </c>
      <c r="AL48" s="87" t="s">
        <v>125</v>
      </c>
      <c r="AM48" s="253"/>
      <c r="AN48" s="89" t="s">
        <v>262</v>
      </c>
      <c r="AO48" s="87" t="s">
        <v>126</v>
      </c>
      <c r="AP48" s="253"/>
      <c r="AQ48" s="89" t="s">
        <v>427</v>
      </c>
      <c r="AR48" s="87"/>
      <c r="AS48" s="91"/>
      <c r="AT48" s="90" t="s">
        <v>262</v>
      </c>
      <c r="AU48" s="103"/>
      <c r="AW48" s="86" t="s">
        <v>138</v>
      </c>
      <c r="AX48" s="87" t="s">
        <v>125</v>
      </c>
      <c r="AY48" s="253"/>
      <c r="AZ48" s="89" t="s">
        <v>262</v>
      </c>
      <c r="BA48" s="87" t="s">
        <v>126</v>
      </c>
      <c r="BB48" s="253"/>
      <c r="BC48" s="89" t="s">
        <v>427</v>
      </c>
      <c r="BD48" s="87"/>
      <c r="BE48" s="91"/>
      <c r="BF48" s="90" t="s">
        <v>262</v>
      </c>
      <c r="BG48" s="103"/>
      <c r="BI48" s="86" t="s">
        <v>138</v>
      </c>
      <c r="BJ48" s="87" t="s">
        <v>125</v>
      </c>
      <c r="BK48" s="253"/>
      <c r="BL48" s="89" t="s">
        <v>262</v>
      </c>
      <c r="BM48" s="87" t="s">
        <v>126</v>
      </c>
      <c r="BN48" s="253"/>
      <c r="BO48" s="89" t="s">
        <v>427</v>
      </c>
      <c r="BP48" s="87"/>
      <c r="BQ48" s="91"/>
      <c r="BR48" s="90" t="s">
        <v>262</v>
      </c>
      <c r="BS48" s="103"/>
      <c r="BU48" s="86" t="s">
        <v>138</v>
      </c>
      <c r="BV48" s="87" t="s">
        <v>125</v>
      </c>
      <c r="BW48" s="253"/>
      <c r="BX48" s="89" t="s">
        <v>262</v>
      </c>
      <c r="BY48" s="87" t="s">
        <v>126</v>
      </c>
      <c r="BZ48" s="253"/>
      <c r="CA48" s="89" t="s">
        <v>427</v>
      </c>
      <c r="CB48" s="87"/>
      <c r="CC48" s="91"/>
      <c r="CD48" s="90" t="s">
        <v>262</v>
      </c>
      <c r="CE48" s="103"/>
      <c r="CG48" s="86" t="s">
        <v>138</v>
      </c>
      <c r="CH48" s="87" t="s">
        <v>125</v>
      </c>
      <c r="CI48" s="253"/>
      <c r="CJ48" s="89" t="s">
        <v>262</v>
      </c>
      <c r="CK48" s="87" t="s">
        <v>126</v>
      </c>
      <c r="CL48" s="253"/>
      <c r="CM48" s="89" t="s">
        <v>427</v>
      </c>
      <c r="CN48" s="87"/>
      <c r="CO48" s="91"/>
      <c r="CP48" s="90" t="s">
        <v>262</v>
      </c>
      <c r="CQ48" s="103"/>
    </row>
    <row r="49" spans="1:95" ht="18.75">
      <c r="A49" s="86" t="s">
        <v>166</v>
      </c>
      <c r="B49" s="87"/>
      <c r="C49" s="133" t="s">
        <v>15</v>
      </c>
      <c r="D49" s="88" t="s">
        <v>439</v>
      </c>
      <c r="E49" s="87"/>
      <c r="F49" s="132"/>
      <c r="G49" s="89"/>
      <c r="H49" s="87"/>
      <c r="I49" s="91"/>
      <c r="J49" s="90" t="s">
        <v>262</v>
      </c>
      <c r="K49" s="103"/>
      <c r="M49" s="86" t="s">
        <v>166</v>
      </c>
      <c r="N49" s="87"/>
      <c r="O49" s="133" t="s">
        <v>15</v>
      </c>
      <c r="P49" s="88" t="s">
        <v>439</v>
      </c>
      <c r="Q49" s="87"/>
      <c r="R49" s="132"/>
      <c r="S49" s="89"/>
      <c r="T49" s="87"/>
      <c r="U49" s="91"/>
      <c r="V49" s="90" t="s">
        <v>262</v>
      </c>
      <c r="W49" s="103"/>
      <c r="Y49" s="86" t="s">
        <v>166</v>
      </c>
      <c r="Z49" s="87"/>
      <c r="AA49" s="133" t="s">
        <v>15</v>
      </c>
      <c r="AB49" s="88" t="s">
        <v>439</v>
      </c>
      <c r="AC49" s="87"/>
      <c r="AD49" s="132"/>
      <c r="AE49" s="89"/>
      <c r="AF49" s="87"/>
      <c r="AG49" s="91"/>
      <c r="AH49" s="90" t="s">
        <v>262</v>
      </c>
      <c r="AI49" s="103"/>
      <c r="AK49" s="86" t="s">
        <v>166</v>
      </c>
      <c r="AL49" s="87"/>
      <c r="AM49" s="133" t="s">
        <v>15</v>
      </c>
      <c r="AN49" s="88" t="s">
        <v>439</v>
      </c>
      <c r="AO49" s="87"/>
      <c r="AP49" s="132"/>
      <c r="AQ49" s="89"/>
      <c r="AR49" s="87"/>
      <c r="AS49" s="91"/>
      <c r="AT49" s="90" t="s">
        <v>262</v>
      </c>
      <c r="AU49" s="103"/>
      <c r="AW49" s="86" t="s">
        <v>166</v>
      </c>
      <c r="AX49" s="87"/>
      <c r="AY49" s="133" t="s">
        <v>15</v>
      </c>
      <c r="AZ49" s="88" t="s">
        <v>439</v>
      </c>
      <c r="BA49" s="87"/>
      <c r="BB49" s="132"/>
      <c r="BC49" s="89"/>
      <c r="BD49" s="87"/>
      <c r="BE49" s="91"/>
      <c r="BF49" s="90" t="s">
        <v>262</v>
      </c>
      <c r="BG49" s="103"/>
      <c r="BI49" s="86" t="s">
        <v>166</v>
      </c>
      <c r="BJ49" s="87"/>
      <c r="BK49" s="133" t="s">
        <v>15</v>
      </c>
      <c r="BL49" s="88" t="s">
        <v>439</v>
      </c>
      <c r="BM49" s="87"/>
      <c r="BN49" s="132"/>
      <c r="BO49" s="89"/>
      <c r="BP49" s="87"/>
      <c r="BQ49" s="91"/>
      <c r="BR49" s="90" t="s">
        <v>262</v>
      </c>
      <c r="BS49" s="103"/>
      <c r="BU49" s="86" t="s">
        <v>166</v>
      </c>
      <c r="BV49" s="87"/>
      <c r="BW49" s="133" t="s">
        <v>15</v>
      </c>
      <c r="BX49" s="88" t="s">
        <v>439</v>
      </c>
      <c r="BY49" s="87"/>
      <c r="BZ49" s="132"/>
      <c r="CA49" s="89"/>
      <c r="CB49" s="87"/>
      <c r="CC49" s="91"/>
      <c r="CD49" s="90" t="s">
        <v>262</v>
      </c>
      <c r="CE49" s="103"/>
      <c r="CG49" s="86" t="s">
        <v>166</v>
      </c>
      <c r="CH49" s="87"/>
      <c r="CI49" s="133" t="s">
        <v>15</v>
      </c>
      <c r="CJ49" s="88" t="s">
        <v>439</v>
      </c>
      <c r="CK49" s="87"/>
      <c r="CL49" s="132"/>
      <c r="CM49" s="89"/>
      <c r="CN49" s="87"/>
      <c r="CO49" s="91"/>
      <c r="CP49" s="90" t="s">
        <v>262</v>
      </c>
      <c r="CQ49" s="103"/>
    </row>
    <row r="50" spans="1:95" ht="18.75">
      <c r="A50" s="375" t="s">
        <v>453</v>
      </c>
      <c r="B50" s="87" t="s">
        <v>175</v>
      </c>
      <c r="C50" s="253"/>
      <c r="D50" s="89" t="s">
        <v>1</v>
      </c>
      <c r="E50" s="376" t="s">
        <v>490</v>
      </c>
      <c r="G50" s="89"/>
      <c r="H50" s="218"/>
      <c r="I50" s="91"/>
      <c r="J50" s="90" t="s">
        <v>262</v>
      </c>
      <c r="K50" s="103"/>
      <c r="M50" s="375" t="s">
        <v>453</v>
      </c>
      <c r="N50" s="87" t="s">
        <v>175</v>
      </c>
      <c r="O50" s="253"/>
      <c r="P50" s="89" t="s">
        <v>1</v>
      </c>
      <c r="Q50" s="376" t="s">
        <v>490</v>
      </c>
      <c r="S50" s="89"/>
      <c r="T50" s="218"/>
      <c r="U50" s="91"/>
      <c r="V50" s="90" t="s">
        <v>262</v>
      </c>
      <c r="W50" s="103"/>
      <c r="Y50" s="375" t="s">
        <v>453</v>
      </c>
      <c r="Z50" s="87" t="s">
        <v>175</v>
      </c>
      <c r="AA50" s="253"/>
      <c r="AB50" s="89" t="s">
        <v>1</v>
      </c>
      <c r="AC50" s="376" t="s">
        <v>490</v>
      </c>
      <c r="AE50" s="89"/>
      <c r="AF50" s="218"/>
      <c r="AG50" s="91"/>
      <c r="AH50" s="90" t="s">
        <v>262</v>
      </c>
      <c r="AI50" s="103"/>
      <c r="AK50" s="375" t="s">
        <v>453</v>
      </c>
      <c r="AL50" s="87" t="s">
        <v>175</v>
      </c>
      <c r="AM50" s="253"/>
      <c r="AN50" s="89" t="s">
        <v>1</v>
      </c>
      <c r="AO50" s="376" t="s">
        <v>490</v>
      </c>
      <c r="AQ50" s="89"/>
      <c r="AR50" s="218"/>
      <c r="AS50" s="91"/>
      <c r="AT50" s="90" t="s">
        <v>262</v>
      </c>
      <c r="AU50" s="103"/>
      <c r="AW50" s="375" t="s">
        <v>453</v>
      </c>
      <c r="AX50" s="87" t="s">
        <v>175</v>
      </c>
      <c r="AY50" s="253"/>
      <c r="AZ50" s="89" t="s">
        <v>1</v>
      </c>
      <c r="BA50" s="376" t="s">
        <v>490</v>
      </c>
      <c r="BC50" s="89"/>
      <c r="BD50" s="218"/>
      <c r="BE50" s="91"/>
      <c r="BF50" s="90" t="s">
        <v>262</v>
      </c>
      <c r="BG50" s="103"/>
      <c r="BI50" s="375" t="s">
        <v>453</v>
      </c>
      <c r="BJ50" s="87" t="s">
        <v>175</v>
      </c>
      <c r="BK50" s="253"/>
      <c r="BL50" s="89" t="s">
        <v>1</v>
      </c>
      <c r="BM50" s="376" t="s">
        <v>490</v>
      </c>
      <c r="BO50" s="89"/>
      <c r="BP50" s="218"/>
      <c r="BQ50" s="91"/>
      <c r="BR50" s="90" t="s">
        <v>262</v>
      </c>
      <c r="BS50" s="103"/>
      <c r="BU50" s="375" t="s">
        <v>453</v>
      </c>
      <c r="BV50" s="87" t="s">
        <v>175</v>
      </c>
      <c r="BW50" s="253"/>
      <c r="BX50" s="89" t="s">
        <v>1</v>
      </c>
      <c r="BY50" s="376" t="s">
        <v>490</v>
      </c>
      <c r="CA50" s="89"/>
      <c r="CB50" s="218"/>
      <c r="CC50" s="91"/>
      <c r="CD50" s="90" t="s">
        <v>262</v>
      </c>
      <c r="CE50" s="103"/>
      <c r="CG50" s="375" t="s">
        <v>453</v>
      </c>
      <c r="CH50" s="87" t="s">
        <v>175</v>
      </c>
      <c r="CI50" s="253"/>
      <c r="CJ50" s="89" t="s">
        <v>1</v>
      </c>
      <c r="CK50" s="376" t="s">
        <v>490</v>
      </c>
      <c r="CM50" s="89"/>
      <c r="CN50" s="218"/>
      <c r="CO50" s="91"/>
      <c r="CP50" s="90" t="s">
        <v>262</v>
      </c>
      <c r="CQ50" s="103"/>
    </row>
    <row r="51" spans="1:95">
      <c r="A51" s="86" t="s">
        <v>44</v>
      </c>
      <c r="B51" s="87"/>
      <c r="C51" s="133" t="s">
        <v>111</v>
      </c>
      <c r="D51" s="88" t="s">
        <v>170</v>
      </c>
      <c r="E51" s="87"/>
      <c r="F51" s="132"/>
      <c r="G51" s="89"/>
      <c r="H51" s="87"/>
      <c r="I51" s="91"/>
      <c r="J51" s="90" t="s">
        <v>262</v>
      </c>
      <c r="K51" s="103"/>
      <c r="M51" s="86" t="s">
        <v>44</v>
      </c>
      <c r="N51" s="87"/>
      <c r="O51" s="133" t="s">
        <v>111</v>
      </c>
      <c r="P51" s="88" t="s">
        <v>170</v>
      </c>
      <c r="Q51" s="87"/>
      <c r="R51" s="132"/>
      <c r="S51" s="89"/>
      <c r="T51" s="87"/>
      <c r="U51" s="91"/>
      <c r="V51" s="90" t="s">
        <v>262</v>
      </c>
      <c r="W51" s="103"/>
      <c r="Y51" s="86" t="s">
        <v>44</v>
      </c>
      <c r="Z51" s="87"/>
      <c r="AA51" s="133" t="s">
        <v>111</v>
      </c>
      <c r="AB51" s="88" t="s">
        <v>170</v>
      </c>
      <c r="AC51" s="87"/>
      <c r="AD51" s="132"/>
      <c r="AE51" s="89"/>
      <c r="AF51" s="87"/>
      <c r="AG51" s="91"/>
      <c r="AH51" s="90" t="s">
        <v>262</v>
      </c>
      <c r="AI51" s="103"/>
      <c r="AK51" s="86" t="s">
        <v>44</v>
      </c>
      <c r="AL51" s="87"/>
      <c r="AM51" s="133" t="s">
        <v>111</v>
      </c>
      <c r="AN51" s="88" t="s">
        <v>170</v>
      </c>
      <c r="AO51" s="87"/>
      <c r="AP51" s="132"/>
      <c r="AQ51" s="89"/>
      <c r="AR51" s="87"/>
      <c r="AS51" s="91"/>
      <c r="AT51" s="90" t="s">
        <v>262</v>
      </c>
      <c r="AU51" s="103"/>
      <c r="AW51" s="86" t="s">
        <v>44</v>
      </c>
      <c r="AX51" s="87"/>
      <c r="AY51" s="133" t="s">
        <v>111</v>
      </c>
      <c r="AZ51" s="88" t="s">
        <v>170</v>
      </c>
      <c r="BA51" s="87"/>
      <c r="BB51" s="132"/>
      <c r="BC51" s="89"/>
      <c r="BD51" s="87"/>
      <c r="BE51" s="91"/>
      <c r="BF51" s="90" t="s">
        <v>262</v>
      </c>
      <c r="BG51" s="103"/>
      <c r="BI51" s="86" t="s">
        <v>44</v>
      </c>
      <c r="BJ51" s="87"/>
      <c r="BK51" s="133" t="s">
        <v>111</v>
      </c>
      <c r="BL51" s="88" t="s">
        <v>170</v>
      </c>
      <c r="BM51" s="87"/>
      <c r="BN51" s="132"/>
      <c r="BO51" s="89"/>
      <c r="BP51" s="87"/>
      <c r="BQ51" s="91"/>
      <c r="BR51" s="90" t="s">
        <v>262</v>
      </c>
      <c r="BS51" s="103"/>
      <c r="BU51" s="86" t="s">
        <v>44</v>
      </c>
      <c r="BV51" s="87"/>
      <c r="BW51" s="133" t="s">
        <v>111</v>
      </c>
      <c r="BX51" s="88" t="s">
        <v>170</v>
      </c>
      <c r="BY51" s="87"/>
      <c r="BZ51" s="132"/>
      <c r="CA51" s="89"/>
      <c r="CB51" s="87"/>
      <c r="CC51" s="91"/>
      <c r="CD51" s="90" t="s">
        <v>262</v>
      </c>
      <c r="CE51" s="103"/>
      <c r="CG51" s="86" t="s">
        <v>44</v>
      </c>
      <c r="CH51" s="87"/>
      <c r="CI51" s="133" t="s">
        <v>111</v>
      </c>
      <c r="CJ51" s="88" t="s">
        <v>170</v>
      </c>
      <c r="CK51" s="87"/>
      <c r="CL51" s="132"/>
      <c r="CM51" s="89"/>
      <c r="CN51" s="87"/>
      <c r="CO51" s="91"/>
      <c r="CP51" s="90" t="s">
        <v>262</v>
      </c>
      <c r="CQ51" s="103"/>
    </row>
    <row r="52" spans="1:95">
      <c r="A52" s="86" t="s">
        <v>167</v>
      </c>
      <c r="B52" s="87"/>
      <c r="C52" s="133" t="s">
        <v>171</v>
      </c>
      <c r="D52" s="88" t="s">
        <v>172</v>
      </c>
      <c r="E52" s="87"/>
      <c r="F52" s="132"/>
      <c r="G52" s="89"/>
      <c r="H52" s="87"/>
      <c r="I52" s="91"/>
      <c r="J52" s="90" t="s">
        <v>262</v>
      </c>
      <c r="K52" s="103"/>
      <c r="M52" s="86" t="s">
        <v>167</v>
      </c>
      <c r="N52" s="87"/>
      <c r="O52" s="133" t="s">
        <v>171</v>
      </c>
      <c r="P52" s="88" t="s">
        <v>172</v>
      </c>
      <c r="Q52" s="87"/>
      <c r="R52" s="132"/>
      <c r="S52" s="89"/>
      <c r="T52" s="87"/>
      <c r="U52" s="91"/>
      <c r="V52" s="90" t="s">
        <v>262</v>
      </c>
      <c r="W52" s="103"/>
      <c r="Y52" s="86" t="s">
        <v>167</v>
      </c>
      <c r="Z52" s="87"/>
      <c r="AA52" s="133" t="s">
        <v>171</v>
      </c>
      <c r="AB52" s="88" t="s">
        <v>172</v>
      </c>
      <c r="AC52" s="87"/>
      <c r="AD52" s="132"/>
      <c r="AE52" s="89"/>
      <c r="AF52" s="87"/>
      <c r="AG52" s="91"/>
      <c r="AH52" s="90" t="s">
        <v>262</v>
      </c>
      <c r="AI52" s="103"/>
      <c r="AK52" s="86" t="s">
        <v>167</v>
      </c>
      <c r="AL52" s="87"/>
      <c r="AM52" s="133" t="s">
        <v>171</v>
      </c>
      <c r="AN52" s="88" t="s">
        <v>172</v>
      </c>
      <c r="AO52" s="87"/>
      <c r="AP52" s="132"/>
      <c r="AQ52" s="89"/>
      <c r="AR52" s="87"/>
      <c r="AS52" s="91"/>
      <c r="AT52" s="90" t="s">
        <v>262</v>
      </c>
      <c r="AU52" s="103"/>
      <c r="AW52" s="86" t="s">
        <v>167</v>
      </c>
      <c r="AX52" s="87"/>
      <c r="AY52" s="133" t="s">
        <v>171</v>
      </c>
      <c r="AZ52" s="88" t="s">
        <v>172</v>
      </c>
      <c r="BA52" s="87"/>
      <c r="BB52" s="132"/>
      <c r="BC52" s="89"/>
      <c r="BD52" s="87"/>
      <c r="BE52" s="91"/>
      <c r="BF52" s="90" t="s">
        <v>262</v>
      </c>
      <c r="BG52" s="103"/>
      <c r="BI52" s="86" t="s">
        <v>167</v>
      </c>
      <c r="BJ52" s="87"/>
      <c r="BK52" s="133" t="s">
        <v>171</v>
      </c>
      <c r="BL52" s="88" t="s">
        <v>172</v>
      </c>
      <c r="BM52" s="87"/>
      <c r="BN52" s="132"/>
      <c r="BO52" s="89"/>
      <c r="BP52" s="87"/>
      <c r="BQ52" s="91"/>
      <c r="BR52" s="90" t="s">
        <v>262</v>
      </c>
      <c r="BS52" s="103"/>
      <c r="BU52" s="86" t="s">
        <v>167</v>
      </c>
      <c r="BV52" s="87"/>
      <c r="BW52" s="133" t="s">
        <v>171</v>
      </c>
      <c r="BX52" s="88" t="s">
        <v>172</v>
      </c>
      <c r="BY52" s="87"/>
      <c r="BZ52" s="132"/>
      <c r="CA52" s="89"/>
      <c r="CB52" s="87"/>
      <c r="CC52" s="91"/>
      <c r="CD52" s="90" t="s">
        <v>262</v>
      </c>
      <c r="CE52" s="103"/>
      <c r="CG52" s="86" t="s">
        <v>167</v>
      </c>
      <c r="CH52" s="87"/>
      <c r="CI52" s="133" t="s">
        <v>171</v>
      </c>
      <c r="CJ52" s="88" t="s">
        <v>172</v>
      </c>
      <c r="CK52" s="87"/>
      <c r="CL52" s="132"/>
      <c r="CM52" s="89"/>
      <c r="CN52" s="87"/>
      <c r="CO52" s="91"/>
      <c r="CP52" s="90" t="s">
        <v>262</v>
      </c>
      <c r="CQ52" s="103"/>
    </row>
    <row r="53" spans="1:95">
      <c r="A53" s="86" t="s">
        <v>168</v>
      </c>
      <c r="B53" s="87"/>
      <c r="C53" s="133" t="s">
        <v>173</v>
      </c>
      <c r="D53" s="88" t="s">
        <v>440</v>
      </c>
      <c r="E53" s="87"/>
      <c r="F53" s="132"/>
      <c r="G53" s="89"/>
      <c r="H53" s="87"/>
      <c r="I53" s="91"/>
      <c r="J53" s="90" t="s">
        <v>262</v>
      </c>
      <c r="K53" s="103"/>
      <c r="M53" s="86" t="s">
        <v>168</v>
      </c>
      <c r="N53" s="87"/>
      <c r="O53" s="133" t="s">
        <v>173</v>
      </c>
      <c r="P53" s="88" t="s">
        <v>440</v>
      </c>
      <c r="Q53" s="87"/>
      <c r="R53" s="132"/>
      <c r="S53" s="89"/>
      <c r="T53" s="87"/>
      <c r="U53" s="91"/>
      <c r="V53" s="90" t="s">
        <v>262</v>
      </c>
      <c r="W53" s="103"/>
      <c r="Y53" s="86" t="s">
        <v>168</v>
      </c>
      <c r="Z53" s="87"/>
      <c r="AA53" s="133" t="s">
        <v>173</v>
      </c>
      <c r="AB53" s="88" t="s">
        <v>440</v>
      </c>
      <c r="AC53" s="87"/>
      <c r="AD53" s="132"/>
      <c r="AE53" s="89"/>
      <c r="AF53" s="87"/>
      <c r="AG53" s="91"/>
      <c r="AH53" s="90" t="s">
        <v>262</v>
      </c>
      <c r="AI53" s="103"/>
      <c r="AK53" s="86" t="s">
        <v>168</v>
      </c>
      <c r="AL53" s="87"/>
      <c r="AM53" s="133" t="s">
        <v>173</v>
      </c>
      <c r="AN53" s="88" t="s">
        <v>440</v>
      </c>
      <c r="AO53" s="87"/>
      <c r="AP53" s="132"/>
      <c r="AQ53" s="89"/>
      <c r="AR53" s="87"/>
      <c r="AS53" s="91"/>
      <c r="AT53" s="90" t="s">
        <v>262</v>
      </c>
      <c r="AU53" s="103"/>
      <c r="AW53" s="86" t="s">
        <v>168</v>
      </c>
      <c r="AX53" s="87"/>
      <c r="AY53" s="133" t="s">
        <v>173</v>
      </c>
      <c r="AZ53" s="88" t="s">
        <v>440</v>
      </c>
      <c r="BA53" s="87"/>
      <c r="BB53" s="132"/>
      <c r="BC53" s="89"/>
      <c r="BD53" s="87"/>
      <c r="BE53" s="91"/>
      <c r="BF53" s="90" t="s">
        <v>262</v>
      </c>
      <c r="BG53" s="103"/>
      <c r="BI53" s="86" t="s">
        <v>168</v>
      </c>
      <c r="BJ53" s="87"/>
      <c r="BK53" s="133" t="s">
        <v>173</v>
      </c>
      <c r="BL53" s="88" t="s">
        <v>440</v>
      </c>
      <c r="BM53" s="87"/>
      <c r="BN53" s="132"/>
      <c r="BO53" s="89"/>
      <c r="BP53" s="87"/>
      <c r="BQ53" s="91"/>
      <c r="BR53" s="90" t="s">
        <v>262</v>
      </c>
      <c r="BS53" s="103"/>
      <c r="BU53" s="86" t="s">
        <v>168</v>
      </c>
      <c r="BV53" s="87"/>
      <c r="BW53" s="133" t="s">
        <v>173</v>
      </c>
      <c r="BX53" s="88" t="s">
        <v>440</v>
      </c>
      <c r="BY53" s="87"/>
      <c r="BZ53" s="132"/>
      <c r="CA53" s="89"/>
      <c r="CB53" s="87"/>
      <c r="CC53" s="91"/>
      <c r="CD53" s="90" t="s">
        <v>262</v>
      </c>
      <c r="CE53" s="103"/>
      <c r="CG53" s="86" t="s">
        <v>168</v>
      </c>
      <c r="CH53" s="87"/>
      <c r="CI53" s="133" t="s">
        <v>173</v>
      </c>
      <c r="CJ53" s="88" t="s">
        <v>440</v>
      </c>
      <c r="CK53" s="87"/>
      <c r="CL53" s="132"/>
      <c r="CM53" s="89"/>
      <c r="CN53" s="87"/>
      <c r="CO53" s="91"/>
      <c r="CP53" s="90" t="s">
        <v>262</v>
      </c>
      <c r="CQ53" s="103"/>
    </row>
    <row r="54" spans="1:95">
      <c r="A54" s="86" t="s">
        <v>169</v>
      </c>
      <c r="B54" s="87"/>
      <c r="C54" s="133" t="s">
        <v>174</v>
      </c>
      <c r="D54" s="88" t="s">
        <v>192</v>
      </c>
      <c r="E54" s="87"/>
      <c r="F54" s="132"/>
      <c r="G54" s="89"/>
      <c r="H54" s="87"/>
      <c r="I54" s="91"/>
      <c r="J54" s="90" t="s">
        <v>262</v>
      </c>
      <c r="K54" s="103"/>
      <c r="M54" s="86" t="s">
        <v>169</v>
      </c>
      <c r="N54" s="87"/>
      <c r="O54" s="133" t="s">
        <v>174</v>
      </c>
      <c r="P54" s="88" t="s">
        <v>192</v>
      </c>
      <c r="Q54" s="87"/>
      <c r="R54" s="132"/>
      <c r="S54" s="89"/>
      <c r="T54" s="87"/>
      <c r="U54" s="91"/>
      <c r="V54" s="90" t="s">
        <v>262</v>
      </c>
      <c r="W54" s="103"/>
      <c r="Y54" s="86" t="s">
        <v>169</v>
      </c>
      <c r="Z54" s="87"/>
      <c r="AA54" s="133" t="s">
        <v>174</v>
      </c>
      <c r="AB54" s="88" t="s">
        <v>192</v>
      </c>
      <c r="AC54" s="87"/>
      <c r="AD54" s="132"/>
      <c r="AE54" s="89"/>
      <c r="AF54" s="87"/>
      <c r="AG54" s="91"/>
      <c r="AH54" s="90" t="s">
        <v>262</v>
      </c>
      <c r="AI54" s="103"/>
      <c r="AK54" s="86" t="s">
        <v>169</v>
      </c>
      <c r="AL54" s="87"/>
      <c r="AM54" s="133" t="s">
        <v>174</v>
      </c>
      <c r="AN54" s="88" t="s">
        <v>192</v>
      </c>
      <c r="AO54" s="87"/>
      <c r="AP54" s="132"/>
      <c r="AQ54" s="89"/>
      <c r="AR54" s="87"/>
      <c r="AS54" s="91"/>
      <c r="AT54" s="90" t="s">
        <v>262</v>
      </c>
      <c r="AU54" s="103"/>
      <c r="AW54" s="86" t="s">
        <v>169</v>
      </c>
      <c r="AX54" s="87"/>
      <c r="AY54" s="133" t="s">
        <v>174</v>
      </c>
      <c r="AZ54" s="88" t="s">
        <v>192</v>
      </c>
      <c r="BA54" s="87"/>
      <c r="BB54" s="132"/>
      <c r="BC54" s="89"/>
      <c r="BD54" s="87"/>
      <c r="BE54" s="91"/>
      <c r="BF54" s="90" t="s">
        <v>262</v>
      </c>
      <c r="BG54" s="103"/>
      <c r="BI54" s="86" t="s">
        <v>169</v>
      </c>
      <c r="BJ54" s="87"/>
      <c r="BK54" s="133" t="s">
        <v>174</v>
      </c>
      <c r="BL54" s="88" t="s">
        <v>192</v>
      </c>
      <c r="BM54" s="87"/>
      <c r="BN54" s="132"/>
      <c r="BO54" s="89"/>
      <c r="BP54" s="87"/>
      <c r="BQ54" s="91"/>
      <c r="BR54" s="90" t="s">
        <v>262</v>
      </c>
      <c r="BS54" s="103"/>
      <c r="BU54" s="86" t="s">
        <v>169</v>
      </c>
      <c r="BV54" s="87"/>
      <c r="BW54" s="133" t="s">
        <v>174</v>
      </c>
      <c r="BX54" s="88" t="s">
        <v>192</v>
      </c>
      <c r="BY54" s="87"/>
      <c r="BZ54" s="132"/>
      <c r="CA54" s="89"/>
      <c r="CB54" s="87"/>
      <c r="CC54" s="91"/>
      <c r="CD54" s="90" t="s">
        <v>262</v>
      </c>
      <c r="CE54" s="103"/>
      <c r="CG54" s="86" t="s">
        <v>169</v>
      </c>
      <c r="CH54" s="87"/>
      <c r="CI54" s="133" t="s">
        <v>174</v>
      </c>
      <c r="CJ54" s="88" t="s">
        <v>192</v>
      </c>
      <c r="CK54" s="87"/>
      <c r="CL54" s="132"/>
      <c r="CM54" s="89"/>
      <c r="CN54" s="87"/>
      <c r="CO54" s="91"/>
      <c r="CP54" s="90" t="s">
        <v>262</v>
      </c>
      <c r="CQ54" s="103"/>
    </row>
    <row r="55" spans="1:95">
      <c r="A55" s="100" t="s">
        <v>585</v>
      </c>
      <c r="B55" s="101"/>
      <c r="C55" s="217"/>
      <c r="D55" s="101"/>
      <c r="E55" s="87"/>
      <c r="F55" s="132"/>
      <c r="G55" s="89"/>
      <c r="H55" s="87"/>
      <c r="I55" s="214"/>
      <c r="J55" s="90" t="s">
        <v>425</v>
      </c>
      <c r="K55" s="103"/>
      <c r="M55" s="100" t="s">
        <v>585</v>
      </c>
      <c r="N55" s="101"/>
      <c r="O55" s="217"/>
      <c r="P55" s="101"/>
      <c r="Q55" s="87"/>
      <c r="R55" s="132"/>
      <c r="S55" s="89"/>
      <c r="T55" s="87"/>
      <c r="U55" s="214"/>
      <c r="V55" s="90" t="s">
        <v>425</v>
      </c>
      <c r="W55" s="103"/>
      <c r="Y55" s="100" t="s">
        <v>585</v>
      </c>
      <c r="Z55" s="101"/>
      <c r="AA55" s="217"/>
      <c r="AB55" s="101"/>
      <c r="AC55" s="87"/>
      <c r="AD55" s="132"/>
      <c r="AE55" s="89"/>
      <c r="AF55" s="87"/>
      <c r="AG55" s="214"/>
      <c r="AH55" s="90" t="s">
        <v>425</v>
      </c>
      <c r="AI55" s="103"/>
      <c r="AK55" s="100" t="s">
        <v>585</v>
      </c>
      <c r="AL55" s="101"/>
      <c r="AM55" s="217"/>
      <c r="AN55" s="101"/>
      <c r="AO55" s="87"/>
      <c r="AP55" s="132"/>
      <c r="AQ55" s="89"/>
      <c r="AR55" s="87"/>
      <c r="AS55" s="214"/>
      <c r="AT55" s="90" t="s">
        <v>425</v>
      </c>
      <c r="AU55" s="103"/>
      <c r="AW55" s="100" t="s">
        <v>585</v>
      </c>
      <c r="AX55" s="101"/>
      <c r="AY55" s="217"/>
      <c r="AZ55" s="101"/>
      <c r="BA55" s="87"/>
      <c r="BB55" s="132"/>
      <c r="BC55" s="89"/>
      <c r="BD55" s="87"/>
      <c r="BE55" s="214"/>
      <c r="BF55" s="90" t="s">
        <v>425</v>
      </c>
      <c r="BG55" s="103"/>
      <c r="BI55" s="100" t="s">
        <v>585</v>
      </c>
      <c r="BJ55" s="101"/>
      <c r="BK55" s="217"/>
      <c r="BL55" s="101"/>
      <c r="BM55" s="87"/>
      <c r="BN55" s="132"/>
      <c r="BO55" s="89"/>
      <c r="BP55" s="87"/>
      <c r="BQ55" s="214"/>
      <c r="BR55" s="90" t="s">
        <v>425</v>
      </c>
      <c r="BS55" s="103"/>
      <c r="BU55" s="100" t="s">
        <v>585</v>
      </c>
      <c r="BV55" s="101"/>
      <c r="BW55" s="217"/>
      <c r="BX55" s="101"/>
      <c r="BY55" s="87"/>
      <c r="BZ55" s="132"/>
      <c r="CA55" s="89"/>
      <c r="CB55" s="87"/>
      <c r="CC55" s="214"/>
      <c r="CD55" s="90" t="s">
        <v>425</v>
      </c>
      <c r="CE55" s="103"/>
      <c r="CG55" s="100" t="s">
        <v>585</v>
      </c>
      <c r="CH55" s="101"/>
      <c r="CI55" s="217"/>
      <c r="CJ55" s="101"/>
      <c r="CK55" s="87"/>
      <c r="CL55" s="132"/>
      <c r="CM55" s="89"/>
      <c r="CN55" s="87"/>
      <c r="CO55" s="214"/>
      <c r="CP55" s="90" t="s">
        <v>425</v>
      </c>
      <c r="CQ55" s="103"/>
    </row>
    <row r="56" spans="1:95" ht="8.25" customHeight="1">
      <c r="A56" s="112"/>
      <c r="B56" s="452"/>
      <c r="C56" s="452"/>
      <c r="D56" s="452"/>
      <c r="E56" s="452"/>
      <c r="F56" s="452"/>
      <c r="G56" s="452"/>
      <c r="H56" s="452"/>
      <c r="I56" s="452"/>
      <c r="J56" s="452"/>
      <c r="K56" s="113"/>
      <c r="M56" s="112"/>
      <c r="N56" s="452"/>
      <c r="O56" s="452"/>
      <c r="P56" s="452"/>
      <c r="Q56" s="452"/>
      <c r="R56" s="452"/>
      <c r="S56" s="452"/>
      <c r="T56" s="452"/>
      <c r="U56" s="452"/>
      <c r="V56" s="452"/>
      <c r="W56" s="113"/>
      <c r="Y56" s="112"/>
      <c r="Z56" s="452"/>
      <c r="AA56" s="452"/>
      <c r="AB56" s="452"/>
      <c r="AC56" s="452"/>
      <c r="AD56" s="452"/>
      <c r="AE56" s="452"/>
      <c r="AF56" s="452"/>
      <c r="AG56" s="452"/>
      <c r="AH56" s="452"/>
      <c r="AI56" s="113"/>
      <c r="AK56" s="112"/>
      <c r="AL56" s="452"/>
      <c r="AM56" s="452"/>
      <c r="AN56" s="452"/>
      <c r="AO56" s="452"/>
      <c r="AP56" s="452"/>
      <c r="AQ56" s="452"/>
      <c r="AR56" s="452"/>
      <c r="AS56" s="452"/>
      <c r="AT56" s="452"/>
      <c r="AU56" s="113"/>
      <c r="AW56" s="112"/>
      <c r="AX56" s="452"/>
      <c r="AY56" s="452"/>
      <c r="AZ56" s="452"/>
      <c r="BA56" s="452"/>
      <c r="BB56" s="452"/>
      <c r="BC56" s="452"/>
      <c r="BD56" s="452"/>
      <c r="BE56" s="452"/>
      <c r="BF56" s="452"/>
      <c r="BG56" s="113"/>
      <c r="BI56" s="112"/>
      <c r="BJ56" s="452"/>
      <c r="BK56" s="452"/>
      <c r="BL56" s="452"/>
      <c r="BM56" s="452"/>
      <c r="BN56" s="452"/>
      <c r="BO56" s="452"/>
      <c r="BP56" s="452"/>
      <c r="BQ56" s="452"/>
      <c r="BR56" s="452"/>
      <c r="BS56" s="113"/>
      <c r="BU56" s="112"/>
      <c r="BV56" s="452"/>
      <c r="BW56" s="452"/>
      <c r="BX56" s="452"/>
      <c r="BY56" s="452"/>
      <c r="BZ56" s="452"/>
      <c r="CA56" s="452"/>
      <c r="CB56" s="452"/>
      <c r="CC56" s="452"/>
      <c r="CD56" s="452"/>
      <c r="CE56" s="113"/>
      <c r="CG56" s="112"/>
      <c r="CH56" s="452"/>
      <c r="CI56" s="452"/>
      <c r="CJ56" s="452"/>
      <c r="CK56" s="452"/>
      <c r="CL56" s="452"/>
      <c r="CM56" s="452"/>
      <c r="CN56" s="452"/>
      <c r="CO56" s="452"/>
      <c r="CP56" s="452"/>
      <c r="CQ56" s="113"/>
    </row>
  </sheetData>
  <mergeCells count="144">
    <mergeCell ref="BU2:CE2"/>
    <mergeCell ref="AZ9:BA9"/>
    <mergeCell ref="BF9:BG9"/>
    <mergeCell ref="BL9:BM9"/>
    <mergeCell ref="BR9:BS9"/>
    <mergeCell ref="BX9:BY9"/>
    <mergeCell ref="CD9:CE9"/>
    <mergeCell ref="CD10:CE10"/>
    <mergeCell ref="P10:Q10"/>
    <mergeCell ref="V10:W10"/>
    <mergeCell ref="AB10:AC10"/>
    <mergeCell ref="AH10:AI10"/>
    <mergeCell ref="AN10:AO10"/>
    <mergeCell ref="AT10:AU10"/>
    <mergeCell ref="AZ10:BA10"/>
    <mergeCell ref="BF10:BG10"/>
    <mergeCell ref="BL10:BM10"/>
    <mergeCell ref="Y2:AI2"/>
    <mergeCell ref="AK2:AU2"/>
    <mergeCell ref="AB9:AC9"/>
    <mergeCell ref="AH9:AI9"/>
    <mergeCell ref="AN9:AO9"/>
    <mergeCell ref="AT9:AU9"/>
    <mergeCell ref="CJ10:CK10"/>
    <mergeCell ref="CP10:CQ10"/>
    <mergeCell ref="D11:E11"/>
    <mergeCell ref="J11:K11"/>
    <mergeCell ref="P11:Q11"/>
    <mergeCell ref="V11:W11"/>
    <mergeCell ref="AB11:AC11"/>
    <mergeCell ref="AH11:AI11"/>
    <mergeCell ref="AN11:AO11"/>
    <mergeCell ref="AT11:AU11"/>
    <mergeCell ref="AZ11:BA11"/>
    <mergeCell ref="BF11:BG11"/>
    <mergeCell ref="BL11:BM11"/>
    <mergeCell ref="BR11:BS11"/>
    <mergeCell ref="BX11:BY11"/>
    <mergeCell ref="CD11:CE11"/>
    <mergeCell ref="CJ11:CK11"/>
    <mergeCell ref="CP11:CQ11"/>
    <mergeCell ref="D10:E10"/>
    <mergeCell ref="J10:K10"/>
    <mergeCell ref="BR10:BS10"/>
    <mergeCell ref="BX10:BY10"/>
    <mergeCell ref="CP14:CQ14"/>
    <mergeCell ref="CD12:CE12"/>
    <mergeCell ref="CJ12:CK12"/>
    <mergeCell ref="CP12:CQ12"/>
    <mergeCell ref="D13:E13"/>
    <mergeCell ref="J13:K13"/>
    <mergeCell ref="P13:Q13"/>
    <mergeCell ref="V13:W13"/>
    <mergeCell ref="AB13:AC13"/>
    <mergeCell ref="AH13:AI13"/>
    <mergeCell ref="AN13:AO13"/>
    <mergeCell ref="AT13:AU13"/>
    <mergeCell ref="AZ13:BA13"/>
    <mergeCell ref="BF13:BG13"/>
    <mergeCell ref="BL13:BM13"/>
    <mergeCell ref="BR13:BS13"/>
    <mergeCell ref="BX13:BY13"/>
    <mergeCell ref="CD13:CE13"/>
    <mergeCell ref="CJ13:CK13"/>
    <mergeCell ref="CP13:CQ13"/>
    <mergeCell ref="D12:E12"/>
    <mergeCell ref="J12:K12"/>
    <mergeCell ref="P12:Q12"/>
    <mergeCell ref="V12:W12"/>
    <mergeCell ref="BF15:BG15"/>
    <mergeCell ref="BL15:BM15"/>
    <mergeCell ref="BR15:BS15"/>
    <mergeCell ref="BX15:BY15"/>
    <mergeCell ref="CD15:CE15"/>
    <mergeCell ref="CJ15:CK15"/>
    <mergeCell ref="CP15:CQ15"/>
    <mergeCell ref="D14:E14"/>
    <mergeCell ref="J14:K14"/>
    <mergeCell ref="P14:Q14"/>
    <mergeCell ref="V14:W14"/>
    <mergeCell ref="AB14:AC14"/>
    <mergeCell ref="D15:E15"/>
    <mergeCell ref="J15:K15"/>
    <mergeCell ref="P15:Q15"/>
    <mergeCell ref="V15:W15"/>
    <mergeCell ref="AB15:AC15"/>
    <mergeCell ref="AH15:AI15"/>
    <mergeCell ref="AN15:AO15"/>
    <mergeCell ref="AT15:AU15"/>
    <mergeCell ref="AZ15:BA15"/>
    <mergeCell ref="BF14:BG14"/>
    <mergeCell ref="CD14:CE14"/>
    <mergeCell ref="CJ14:CK14"/>
    <mergeCell ref="BL14:BM14"/>
    <mergeCell ref="BR14:BS14"/>
    <mergeCell ref="BX14:BY14"/>
    <mergeCell ref="AH14:AI14"/>
    <mergeCell ref="AN14:AO14"/>
    <mergeCell ref="AT14:AU14"/>
    <mergeCell ref="AZ14:BA14"/>
    <mergeCell ref="BF12:BG12"/>
    <mergeCell ref="BR12:BS12"/>
    <mergeCell ref="BX12:BY12"/>
    <mergeCell ref="AH12:AI12"/>
    <mergeCell ref="AN12:AO12"/>
    <mergeCell ref="AT12:AU12"/>
    <mergeCell ref="AZ12:BA12"/>
    <mergeCell ref="BL12:BM12"/>
    <mergeCell ref="AB12:AC12"/>
    <mergeCell ref="AW2:BG2"/>
    <mergeCell ref="BI2:BS2"/>
    <mergeCell ref="P9:Q9"/>
    <mergeCell ref="V9:W9"/>
    <mergeCell ref="A2:K2"/>
    <mergeCell ref="A8:A9"/>
    <mergeCell ref="D8:E8"/>
    <mergeCell ref="J8:K8"/>
    <mergeCell ref="D9:E9"/>
    <mergeCell ref="J9:K9"/>
    <mergeCell ref="M2:W2"/>
    <mergeCell ref="CJ9:CK9"/>
    <mergeCell ref="CP9:CQ9"/>
    <mergeCell ref="CG2:CQ2"/>
    <mergeCell ref="M8:M9"/>
    <mergeCell ref="P8:Q8"/>
    <mergeCell ref="V8:W8"/>
    <mergeCell ref="Y8:Y9"/>
    <mergeCell ref="AB8:AC8"/>
    <mergeCell ref="AH8:AI8"/>
    <mergeCell ref="AK8:AK9"/>
    <mergeCell ref="AN8:AO8"/>
    <mergeCell ref="AT8:AU8"/>
    <mergeCell ref="AW8:AW9"/>
    <mergeCell ref="AZ8:BA8"/>
    <mergeCell ref="BF8:BG8"/>
    <mergeCell ref="BI8:BI9"/>
    <mergeCell ref="BL8:BM8"/>
    <mergeCell ref="BR8:BS8"/>
    <mergeCell ref="BU8:BU9"/>
    <mergeCell ref="BX8:BY8"/>
    <mergeCell ref="CD8:CE8"/>
    <mergeCell ref="CG8:CG9"/>
    <mergeCell ref="CJ8:CK8"/>
    <mergeCell ref="CP8:CQ8"/>
  </mergeCells>
  <printOptions horizontalCentered="1" verticalCentered="1"/>
  <pageMargins left="0.5" right="0.5" top="0.5" bottom="0.5" header="0.3" footer="0.3"/>
  <pageSetup scale="10" orientation="portrait" r:id="rId1"/>
  <colBreaks count="1" manualBreakCount="1">
    <brk id="10" max="1048575" man="1"/>
  </colBreaks>
  <ignoredErrors>
    <ignoredError sqref="AF13:AF1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V54"/>
  <sheetViews>
    <sheetView zoomScale="70" zoomScaleNormal="70" workbookViewId="0">
      <selection activeCell="N2" sqref="N2:X54"/>
    </sheetView>
  </sheetViews>
  <sheetFormatPr defaultRowHeight="12.75"/>
  <cols>
    <col min="1" max="1" width="4.6640625" style="32" customWidth="1"/>
    <col min="2" max="2" width="35.1640625" style="32" customWidth="1"/>
    <col min="3" max="3" width="17.6640625" style="32" customWidth="1"/>
    <col min="4" max="4" width="9.83203125" style="511" customWidth="1"/>
    <col min="5" max="5" width="11.83203125" style="32" customWidth="1"/>
    <col min="6" max="6" width="10.83203125" style="32" customWidth="1"/>
    <col min="7" max="7" width="11.83203125" style="32" customWidth="1"/>
    <col min="8" max="8" width="10.83203125" style="32" customWidth="1"/>
    <col min="9" max="9" width="11.83203125" style="32" customWidth="1"/>
    <col min="10" max="10" width="10.83203125" style="32" customWidth="1"/>
    <col min="11" max="12" width="11.83203125" style="32" customWidth="1"/>
    <col min="13" max="13" width="9.83203125" style="32" customWidth="1"/>
    <col min="14" max="14" width="35.1640625" style="32" customWidth="1"/>
    <col min="15" max="15" width="17.6640625" style="32" customWidth="1"/>
    <col min="16" max="16" width="9.83203125" style="501" customWidth="1"/>
    <col min="17" max="17" width="11.83203125" style="32" customWidth="1"/>
    <col min="18" max="18" width="10.83203125" style="32" customWidth="1"/>
    <col min="19" max="19" width="11.83203125" style="32" customWidth="1"/>
    <col min="20" max="20" width="11.33203125" style="32" bestFit="1" customWidth="1"/>
    <col min="21" max="21" width="13.33203125" style="32" bestFit="1" customWidth="1"/>
    <col min="22" max="22" width="10.83203125" style="32" customWidth="1"/>
    <col min="23" max="23" width="13.83203125" style="32" customWidth="1"/>
    <col min="24" max="24" width="11.83203125" style="32" customWidth="1"/>
    <col min="25" max="25" width="9.33203125" style="32"/>
    <col min="26" max="26" width="35.1640625" style="32" customWidth="1"/>
    <col min="27" max="27" width="17.6640625" style="32" customWidth="1"/>
    <col min="28" max="28" width="9.83203125" style="501" customWidth="1"/>
    <col min="29" max="29" width="11.83203125" style="32" customWidth="1"/>
    <col min="30" max="30" width="10.83203125" style="32" customWidth="1"/>
    <col min="31" max="31" width="11.83203125" style="32" customWidth="1"/>
    <col min="32" max="32" width="10.83203125" style="32" customWidth="1"/>
    <col min="33" max="33" width="11.83203125" style="32" customWidth="1"/>
    <col min="34" max="34" width="10.83203125" style="32" customWidth="1"/>
    <col min="35" max="36" width="11.83203125" style="32" customWidth="1"/>
    <col min="37" max="37" width="9.33203125" style="32"/>
    <col min="38" max="38" width="35.1640625" style="32" customWidth="1"/>
    <col min="39" max="39" width="17.6640625" style="32" customWidth="1"/>
    <col min="40" max="40" width="9.83203125" style="511" customWidth="1"/>
    <col min="41" max="41" width="11.83203125" style="32" customWidth="1"/>
    <col min="42" max="42" width="10.83203125" style="32" customWidth="1"/>
    <col min="43" max="43" width="11.83203125" style="32" customWidth="1"/>
    <col min="44" max="44" width="10.83203125" style="32" customWidth="1"/>
    <col min="45" max="45" width="12.83203125" style="32" bestFit="1" customWidth="1"/>
    <col min="46" max="46" width="10.83203125" style="32" customWidth="1"/>
    <col min="47" max="48" width="11.83203125" style="32" customWidth="1"/>
    <col min="49" max="16384" width="9.33203125" style="32"/>
  </cols>
  <sheetData>
    <row r="1" spans="2:48">
      <c r="C1" s="32" t="s">
        <v>503</v>
      </c>
      <c r="O1" s="32" t="s">
        <v>485</v>
      </c>
      <c r="AA1" s="32" t="s">
        <v>486</v>
      </c>
      <c r="AM1" s="32" t="s">
        <v>189</v>
      </c>
    </row>
    <row r="2" spans="2:48" ht="18.75">
      <c r="B2" s="703" t="s">
        <v>85</v>
      </c>
      <c r="C2" s="704"/>
      <c r="D2" s="704"/>
      <c r="E2" s="704"/>
      <c r="F2" s="704"/>
      <c r="G2" s="704"/>
      <c r="H2" s="704"/>
      <c r="I2" s="704"/>
      <c r="J2" s="704"/>
      <c r="K2" s="704"/>
      <c r="L2" s="705"/>
      <c r="N2" s="703" t="s">
        <v>85</v>
      </c>
      <c r="O2" s="704"/>
      <c r="P2" s="704"/>
      <c r="Q2" s="704"/>
      <c r="R2" s="704"/>
      <c r="S2" s="704"/>
      <c r="T2" s="704"/>
      <c r="U2" s="704"/>
      <c r="V2" s="704"/>
      <c r="W2" s="704"/>
      <c r="X2" s="705"/>
      <c r="Z2" s="703" t="s">
        <v>85</v>
      </c>
      <c r="AA2" s="704"/>
      <c r="AB2" s="704"/>
      <c r="AC2" s="704"/>
      <c r="AD2" s="704"/>
      <c r="AE2" s="704"/>
      <c r="AF2" s="704"/>
      <c r="AG2" s="704"/>
      <c r="AH2" s="704"/>
      <c r="AI2" s="704"/>
      <c r="AJ2" s="705"/>
      <c r="AL2" s="703" t="s">
        <v>85</v>
      </c>
      <c r="AM2" s="704"/>
      <c r="AN2" s="704"/>
      <c r="AO2" s="704"/>
      <c r="AP2" s="704"/>
      <c r="AQ2" s="704"/>
      <c r="AR2" s="704"/>
      <c r="AS2" s="704"/>
      <c r="AT2" s="704"/>
      <c r="AU2" s="704"/>
      <c r="AV2" s="705"/>
    </row>
    <row r="3" spans="2:48" ht="14.25">
      <c r="B3" s="336" t="s">
        <v>14</v>
      </c>
      <c r="C3" s="165" t="s">
        <v>14</v>
      </c>
      <c r="D3" s="502" t="s">
        <v>91</v>
      </c>
      <c r="E3" s="337" t="s">
        <v>41</v>
      </c>
      <c r="F3" s="358" t="s">
        <v>16</v>
      </c>
      <c r="G3" s="337" t="s">
        <v>140</v>
      </c>
      <c r="H3" s="358" t="s">
        <v>42</v>
      </c>
      <c r="I3" s="337" t="s">
        <v>141</v>
      </c>
      <c r="J3" s="358" t="s">
        <v>43</v>
      </c>
      <c r="K3" s="337" t="s">
        <v>142</v>
      </c>
      <c r="L3" s="337" t="s">
        <v>50</v>
      </c>
      <c r="M3" s="4"/>
      <c r="N3" s="336" t="s">
        <v>14</v>
      </c>
      <c r="O3" s="165" t="s">
        <v>14</v>
      </c>
      <c r="P3" s="502" t="s">
        <v>91</v>
      </c>
      <c r="Q3" s="337" t="s">
        <v>41</v>
      </c>
      <c r="R3" s="358" t="s">
        <v>16</v>
      </c>
      <c r="S3" s="337" t="s">
        <v>140</v>
      </c>
      <c r="T3" s="358" t="s">
        <v>42</v>
      </c>
      <c r="U3" s="337" t="s">
        <v>141</v>
      </c>
      <c r="V3" s="358" t="s">
        <v>43</v>
      </c>
      <c r="W3" s="337" t="s">
        <v>142</v>
      </c>
      <c r="X3" s="337" t="s">
        <v>50</v>
      </c>
      <c r="Z3" s="336" t="s">
        <v>14</v>
      </c>
      <c r="AA3" s="165" t="s">
        <v>14</v>
      </c>
      <c r="AB3" s="502" t="s">
        <v>91</v>
      </c>
      <c r="AC3" s="337" t="s">
        <v>41</v>
      </c>
      <c r="AD3" s="358" t="s">
        <v>16</v>
      </c>
      <c r="AE3" s="337" t="s">
        <v>140</v>
      </c>
      <c r="AF3" s="358" t="s">
        <v>42</v>
      </c>
      <c r="AG3" s="337" t="s">
        <v>141</v>
      </c>
      <c r="AH3" s="358" t="s">
        <v>43</v>
      </c>
      <c r="AI3" s="337" t="s">
        <v>142</v>
      </c>
      <c r="AJ3" s="337" t="s">
        <v>50</v>
      </c>
      <c r="AL3" s="336" t="s">
        <v>14</v>
      </c>
      <c r="AM3" s="165" t="s">
        <v>14</v>
      </c>
      <c r="AN3" s="502" t="s">
        <v>91</v>
      </c>
      <c r="AO3" s="337" t="s">
        <v>41</v>
      </c>
      <c r="AP3" s="358" t="s">
        <v>16</v>
      </c>
      <c r="AQ3" s="337" t="s">
        <v>140</v>
      </c>
      <c r="AR3" s="358" t="s">
        <v>42</v>
      </c>
      <c r="AS3" s="337" t="s">
        <v>141</v>
      </c>
      <c r="AT3" s="358" t="s">
        <v>43</v>
      </c>
      <c r="AU3" s="337" t="s">
        <v>142</v>
      </c>
      <c r="AV3" s="337" t="s">
        <v>50</v>
      </c>
    </row>
    <row r="4" spans="2:48" ht="15">
      <c r="B4" s="49"/>
      <c r="C4" s="53" t="s">
        <v>178</v>
      </c>
      <c r="D4" s="503"/>
      <c r="E4" s="49"/>
      <c r="F4" s="334" t="s">
        <v>82</v>
      </c>
      <c r="G4" s="49" t="s">
        <v>83</v>
      </c>
      <c r="H4" s="334" t="s">
        <v>82</v>
      </c>
      <c r="I4" s="49" t="s">
        <v>83</v>
      </c>
      <c r="J4" s="334" t="s">
        <v>82</v>
      </c>
      <c r="K4" s="49" t="s">
        <v>83</v>
      </c>
      <c r="L4" s="338"/>
      <c r="M4" s="45"/>
      <c r="N4" s="49"/>
      <c r="O4" s="53" t="s">
        <v>178</v>
      </c>
      <c r="P4" s="503"/>
      <c r="Q4" s="49"/>
      <c r="R4" s="334" t="s">
        <v>82</v>
      </c>
      <c r="S4" s="49" t="s">
        <v>83</v>
      </c>
      <c r="T4" s="334" t="s">
        <v>82</v>
      </c>
      <c r="U4" s="49" t="s">
        <v>83</v>
      </c>
      <c r="V4" s="334" t="s">
        <v>82</v>
      </c>
      <c r="W4" s="49" t="s">
        <v>83</v>
      </c>
      <c r="X4" s="338"/>
      <c r="Z4" s="49"/>
      <c r="AA4" s="53" t="s">
        <v>178</v>
      </c>
      <c r="AB4" s="503"/>
      <c r="AC4" s="49"/>
      <c r="AD4" s="334" t="s">
        <v>82</v>
      </c>
      <c r="AE4" s="49" t="s">
        <v>83</v>
      </c>
      <c r="AF4" s="334" t="s">
        <v>82</v>
      </c>
      <c r="AG4" s="49" t="s">
        <v>83</v>
      </c>
      <c r="AH4" s="334" t="s">
        <v>82</v>
      </c>
      <c r="AI4" s="49" t="s">
        <v>83</v>
      </c>
      <c r="AJ4" s="338"/>
      <c r="AL4" s="49"/>
      <c r="AM4" s="53" t="s">
        <v>178</v>
      </c>
      <c r="AN4" s="503"/>
      <c r="AO4" s="49"/>
      <c r="AP4" s="334" t="s">
        <v>82</v>
      </c>
      <c r="AQ4" s="49" t="s">
        <v>83</v>
      </c>
      <c r="AR4" s="334" t="s">
        <v>82</v>
      </c>
      <c r="AS4" s="49" t="s">
        <v>83</v>
      </c>
      <c r="AT4" s="334" t="s">
        <v>82</v>
      </c>
      <c r="AU4" s="49" t="s">
        <v>83</v>
      </c>
      <c r="AV4" s="338"/>
    </row>
    <row r="5" spans="2:48" ht="15">
      <c r="B5" s="50"/>
      <c r="C5" s="55"/>
      <c r="D5" s="504"/>
      <c r="E5" s="50" t="s">
        <v>195</v>
      </c>
      <c r="F5" s="273" t="s">
        <v>198</v>
      </c>
      <c r="G5" s="50" t="s">
        <v>266</v>
      </c>
      <c r="H5" s="273" t="s">
        <v>196</v>
      </c>
      <c r="I5" s="50" t="s">
        <v>266</v>
      </c>
      <c r="J5" s="273" t="s">
        <v>197</v>
      </c>
      <c r="K5" s="50" t="s">
        <v>266</v>
      </c>
      <c r="L5" s="50" t="s">
        <v>266</v>
      </c>
      <c r="M5" s="46"/>
      <c r="N5" s="50"/>
      <c r="O5" s="55"/>
      <c r="P5" s="504"/>
      <c r="Q5" s="50" t="s">
        <v>195</v>
      </c>
      <c r="R5" s="273" t="s">
        <v>198</v>
      </c>
      <c r="S5" s="50" t="s">
        <v>266</v>
      </c>
      <c r="T5" s="273" t="s">
        <v>196</v>
      </c>
      <c r="U5" s="50" t="s">
        <v>266</v>
      </c>
      <c r="V5" s="273" t="s">
        <v>197</v>
      </c>
      <c r="W5" s="50" t="s">
        <v>266</v>
      </c>
      <c r="X5" s="50" t="s">
        <v>266</v>
      </c>
      <c r="Z5" s="50"/>
      <c r="AA5" s="55"/>
      <c r="AB5" s="504"/>
      <c r="AC5" s="50" t="s">
        <v>195</v>
      </c>
      <c r="AD5" s="273" t="s">
        <v>198</v>
      </c>
      <c r="AE5" s="50" t="s">
        <v>266</v>
      </c>
      <c r="AF5" s="273" t="s">
        <v>196</v>
      </c>
      <c r="AG5" s="50" t="s">
        <v>266</v>
      </c>
      <c r="AH5" s="273" t="s">
        <v>197</v>
      </c>
      <c r="AI5" s="50" t="s">
        <v>266</v>
      </c>
      <c r="AJ5" s="50" t="s">
        <v>266</v>
      </c>
      <c r="AL5" s="50"/>
      <c r="AM5" s="55"/>
      <c r="AN5" s="504"/>
      <c r="AO5" s="50" t="s">
        <v>195</v>
      </c>
      <c r="AP5" s="273" t="s">
        <v>198</v>
      </c>
      <c r="AQ5" s="50" t="s">
        <v>266</v>
      </c>
      <c r="AR5" s="273" t="s">
        <v>196</v>
      </c>
      <c r="AS5" s="50" t="s">
        <v>266</v>
      </c>
      <c r="AT5" s="273" t="s">
        <v>197</v>
      </c>
      <c r="AU5" s="50" t="s">
        <v>266</v>
      </c>
      <c r="AV5" s="50" t="s">
        <v>266</v>
      </c>
    </row>
    <row r="6" spans="2:48" ht="15">
      <c r="B6" s="339" t="s">
        <v>47</v>
      </c>
      <c r="C6" s="356"/>
      <c r="D6" s="340"/>
      <c r="E6" s="341"/>
      <c r="F6" s="341"/>
      <c r="G6" s="341"/>
      <c r="H6" s="341"/>
      <c r="I6" s="341"/>
      <c r="J6" s="341"/>
      <c r="K6" s="340"/>
      <c r="L6" s="342"/>
      <c r="N6" s="339" t="s">
        <v>47</v>
      </c>
      <c r="O6" s="356"/>
      <c r="P6" s="340"/>
      <c r="Q6" s="341"/>
      <c r="R6" s="341"/>
      <c r="S6" s="468"/>
      <c r="T6" s="468"/>
      <c r="U6" s="468"/>
      <c r="V6" s="468"/>
      <c r="W6" s="469"/>
      <c r="X6" s="342"/>
      <c r="Z6" s="339" t="s">
        <v>47</v>
      </c>
      <c r="AA6" s="356"/>
      <c r="AB6" s="340"/>
      <c r="AC6" s="341"/>
      <c r="AD6" s="341"/>
      <c r="AE6" s="341"/>
      <c r="AF6" s="341"/>
      <c r="AG6" s="341"/>
      <c r="AH6" s="341"/>
      <c r="AI6" s="340"/>
      <c r="AJ6" s="342"/>
      <c r="AL6" s="339" t="s">
        <v>47</v>
      </c>
      <c r="AM6" s="356"/>
      <c r="AN6" s="570"/>
      <c r="AO6" s="341"/>
      <c r="AP6" s="341"/>
      <c r="AQ6" s="341"/>
      <c r="AR6" s="341"/>
      <c r="AS6" s="341"/>
      <c r="AT6" s="341"/>
      <c r="AU6" s="340"/>
      <c r="AV6" s="342"/>
    </row>
    <row r="7" spans="2:48" ht="15">
      <c r="B7" s="343" t="s">
        <v>264</v>
      </c>
      <c r="C7" s="472" t="s">
        <v>199</v>
      </c>
      <c r="D7" s="345"/>
      <c r="E7" s="345"/>
      <c r="F7" s="223"/>
      <c r="G7" s="345"/>
      <c r="H7" s="223"/>
      <c r="I7" s="345"/>
      <c r="J7" s="223"/>
      <c r="K7" s="345"/>
      <c r="L7" s="354"/>
      <c r="N7" s="343" t="s">
        <v>264</v>
      </c>
      <c r="O7" s="472" t="s">
        <v>199</v>
      </c>
      <c r="P7" s="509">
        <v>1</v>
      </c>
      <c r="Q7" s="345">
        <v>49.09</v>
      </c>
      <c r="R7" s="476">
        <v>9.7100000000000009</v>
      </c>
      <c r="S7" s="345">
        <f>Q7*R7</f>
        <v>476.66390000000007</v>
      </c>
      <c r="T7" s="549">
        <v>70.28</v>
      </c>
      <c r="U7" s="345">
        <f>Q7*T7</f>
        <v>3450.0452000000005</v>
      </c>
      <c r="V7" s="552">
        <v>19.28</v>
      </c>
      <c r="W7" s="345">
        <f>Q7*V7</f>
        <v>946.4552000000001</v>
      </c>
      <c r="X7" s="465">
        <v>0</v>
      </c>
      <c r="Z7" s="343" t="s">
        <v>264</v>
      </c>
      <c r="AA7" s="472" t="s">
        <v>199</v>
      </c>
      <c r="AB7" s="509">
        <v>1</v>
      </c>
      <c r="AC7" s="345">
        <v>49.09</v>
      </c>
      <c r="AD7" s="476">
        <v>9.7100000000000009</v>
      </c>
      <c r="AE7" s="345">
        <f>AC7*AD7</f>
        <v>476.66390000000007</v>
      </c>
      <c r="AF7" s="479">
        <v>70.28</v>
      </c>
      <c r="AG7" s="345">
        <f>AC7*AF7</f>
        <v>3450.0452000000005</v>
      </c>
      <c r="AH7" s="552">
        <v>19.28</v>
      </c>
      <c r="AI7" s="345">
        <f>AC7*AH7</f>
        <v>946.4552000000001</v>
      </c>
      <c r="AJ7" s="350">
        <v>0</v>
      </c>
      <c r="AL7" s="343" t="s">
        <v>264</v>
      </c>
      <c r="AM7" s="472" t="s">
        <v>199</v>
      </c>
      <c r="AN7" s="509">
        <v>1</v>
      </c>
      <c r="AO7" s="345">
        <v>49.09</v>
      </c>
      <c r="AP7" s="476">
        <v>9.7100000000000009</v>
      </c>
      <c r="AQ7" s="345">
        <f>AO7*AP7</f>
        <v>476.66390000000007</v>
      </c>
      <c r="AR7" s="479">
        <v>70.28</v>
      </c>
      <c r="AS7" s="345">
        <f>AO7*AR7</f>
        <v>3450.0452000000005</v>
      </c>
      <c r="AT7" s="480">
        <v>19.28</v>
      </c>
      <c r="AU7" s="345">
        <f>AO7*AT7</f>
        <v>946.4552000000001</v>
      </c>
      <c r="AV7" s="350">
        <v>0</v>
      </c>
    </row>
    <row r="8" spans="2:48" ht="15">
      <c r="B8" s="145" t="s">
        <v>264</v>
      </c>
      <c r="C8" s="473" t="s">
        <v>200</v>
      </c>
      <c r="D8" s="350"/>
      <c r="E8" s="350"/>
      <c r="F8" s="223"/>
      <c r="G8" s="350"/>
      <c r="H8" s="223"/>
      <c r="I8" s="350"/>
      <c r="J8" s="223"/>
      <c r="K8" s="350"/>
      <c r="L8" s="355"/>
      <c r="N8" s="145" t="s">
        <v>264</v>
      </c>
      <c r="O8" s="473" t="s">
        <v>200</v>
      </c>
      <c r="P8" s="506">
        <v>0</v>
      </c>
      <c r="Q8" s="350">
        <v>0</v>
      </c>
      <c r="R8" s="476">
        <v>9.7100000000000009</v>
      </c>
      <c r="S8" s="350">
        <f>R8*Q8</f>
        <v>0</v>
      </c>
      <c r="T8" s="548">
        <v>70.28</v>
      </c>
      <c r="U8" s="350">
        <f t="shared" ref="U8:U19" si="0">Q8*T8</f>
        <v>0</v>
      </c>
      <c r="V8" s="487">
        <v>-19.28</v>
      </c>
      <c r="W8" s="350">
        <f t="shared" ref="W8:W19" si="1">Q8*V8</f>
        <v>0</v>
      </c>
      <c r="X8" s="465">
        <v>0</v>
      </c>
      <c r="Z8" s="145" t="s">
        <v>264</v>
      </c>
      <c r="AA8" s="473" t="s">
        <v>200</v>
      </c>
      <c r="AB8" s="506">
        <v>0</v>
      </c>
      <c r="AC8" s="350">
        <v>0</v>
      </c>
      <c r="AD8" s="476">
        <v>9.7100000000000009</v>
      </c>
      <c r="AE8" s="350">
        <f>AD8*AC8</f>
        <v>0</v>
      </c>
      <c r="AF8" s="479">
        <v>70.28</v>
      </c>
      <c r="AG8" s="350">
        <f t="shared" ref="AG8:AG19" si="2">AC8*AF8</f>
        <v>0</v>
      </c>
      <c r="AH8" s="487">
        <v>-19.28</v>
      </c>
      <c r="AI8" s="350">
        <f t="shared" ref="AI8:AI18" si="3">AC8*AH8</f>
        <v>0</v>
      </c>
      <c r="AJ8" s="350">
        <v>0</v>
      </c>
      <c r="AL8" s="145" t="s">
        <v>264</v>
      </c>
      <c r="AM8" s="473" t="s">
        <v>200</v>
      </c>
      <c r="AN8" s="506">
        <v>1</v>
      </c>
      <c r="AO8" s="350">
        <v>49.09</v>
      </c>
      <c r="AP8" s="476">
        <v>9.7100000000000009</v>
      </c>
      <c r="AQ8" s="350">
        <f>AP8*AO8</f>
        <v>476.66390000000007</v>
      </c>
      <c r="AR8" s="479">
        <v>70.28</v>
      </c>
      <c r="AS8" s="350">
        <f t="shared" ref="AS8:AS19" si="4">AO8*AR8</f>
        <v>3450.0452000000005</v>
      </c>
      <c r="AT8" s="480">
        <v>-19.28</v>
      </c>
      <c r="AU8" s="350">
        <f t="shared" ref="AU8:AU19" si="5">AO8*AT8</f>
        <v>-946.4552000000001</v>
      </c>
      <c r="AV8" s="350">
        <v>0</v>
      </c>
    </row>
    <row r="9" spans="2:48" ht="15">
      <c r="B9" s="145" t="s">
        <v>264</v>
      </c>
      <c r="C9" s="473" t="s">
        <v>201</v>
      </c>
      <c r="D9" s="505"/>
      <c r="E9" s="350"/>
      <c r="F9" s="223"/>
      <c r="G9" s="350"/>
      <c r="H9" s="223"/>
      <c r="I9" s="350"/>
      <c r="J9" s="223"/>
      <c r="K9" s="350"/>
      <c r="L9" s="350"/>
      <c r="N9" s="145" t="s">
        <v>264</v>
      </c>
      <c r="O9" s="473" t="s">
        <v>201</v>
      </c>
      <c r="P9" s="505">
        <v>1</v>
      </c>
      <c r="Q9" s="350">
        <v>28.97</v>
      </c>
      <c r="R9" s="476">
        <v>2</v>
      </c>
      <c r="S9" s="350">
        <f t="shared" ref="S9:S18" si="6">R9*Q9</f>
        <v>57.94</v>
      </c>
      <c r="T9" s="548">
        <v>90.08</v>
      </c>
      <c r="U9" s="350">
        <f t="shared" si="0"/>
        <v>2609.6176</v>
      </c>
      <c r="V9" s="487">
        <v>0</v>
      </c>
      <c r="W9" s="350">
        <f t="shared" si="1"/>
        <v>0</v>
      </c>
      <c r="X9" s="465">
        <v>0</v>
      </c>
      <c r="Z9" s="145" t="s">
        <v>264</v>
      </c>
      <c r="AA9" s="473" t="s">
        <v>201</v>
      </c>
      <c r="AB9" s="505">
        <v>1</v>
      </c>
      <c r="AC9" s="350">
        <v>28.97</v>
      </c>
      <c r="AD9" s="476">
        <v>2</v>
      </c>
      <c r="AE9" s="350">
        <f t="shared" ref="AE9:AE18" si="7">AD9*AC9</f>
        <v>57.94</v>
      </c>
      <c r="AF9" s="479">
        <v>90.08</v>
      </c>
      <c r="AG9" s="350">
        <f t="shared" si="2"/>
        <v>2609.6176</v>
      </c>
      <c r="AH9" s="487">
        <v>0</v>
      </c>
      <c r="AI9" s="350">
        <f t="shared" si="3"/>
        <v>0</v>
      </c>
      <c r="AJ9" s="350">
        <v>0</v>
      </c>
      <c r="AL9" s="145" t="s">
        <v>264</v>
      </c>
      <c r="AM9" s="473" t="s">
        <v>201</v>
      </c>
      <c r="AN9" s="505">
        <v>1</v>
      </c>
      <c r="AO9" s="350">
        <v>28.97</v>
      </c>
      <c r="AP9" s="476">
        <v>2</v>
      </c>
      <c r="AQ9" s="350">
        <f t="shared" ref="AQ9:AQ18" si="8">AP9*AO9</f>
        <v>57.94</v>
      </c>
      <c r="AR9" s="479">
        <v>90.08</v>
      </c>
      <c r="AS9" s="350">
        <f t="shared" si="4"/>
        <v>2609.6176</v>
      </c>
      <c r="AT9" s="480">
        <v>0</v>
      </c>
      <c r="AU9" s="350">
        <f t="shared" si="5"/>
        <v>0</v>
      </c>
      <c r="AV9" s="350">
        <v>0</v>
      </c>
    </row>
    <row r="10" spans="2:48" ht="15">
      <c r="B10" s="145" t="s">
        <v>264</v>
      </c>
      <c r="C10" s="473" t="s">
        <v>202</v>
      </c>
      <c r="D10" s="505"/>
      <c r="E10" s="350"/>
      <c r="F10" s="223"/>
      <c r="G10" s="350"/>
      <c r="H10" s="223"/>
      <c r="I10" s="350"/>
      <c r="J10" s="223"/>
      <c r="K10" s="350"/>
      <c r="L10" s="350"/>
      <c r="N10" s="145" t="s">
        <v>264</v>
      </c>
      <c r="O10" s="473" t="s">
        <v>202</v>
      </c>
      <c r="P10" s="505">
        <v>1</v>
      </c>
      <c r="Q10" s="350">
        <v>44.22</v>
      </c>
      <c r="R10" s="476">
        <v>7.37</v>
      </c>
      <c r="S10" s="350">
        <f t="shared" si="6"/>
        <v>325.90140000000002</v>
      </c>
      <c r="T10" s="548">
        <v>125</v>
      </c>
      <c r="U10" s="350">
        <f t="shared" si="0"/>
        <v>5527.5</v>
      </c>
      <c r="V10" s="487">
        <v>19.32</v>
      </c>
      <c r="W10" s="350">
        <f t="shared" si="1"/>
        <v>854.33039999999994</v>
      </c>
      <c r="X10" s="465">
        <v>0</v>
      </c>
      <c r="Z10" s="145" t="s">
        <v>264</v>
      </c>
      <c r="AA10" s="473" t="s">
        <v>202</v>
      </c>
      <c r="AB10" s="505">
        <v>1</v>
      </c>
      <c r="AC10" s="350">
        <v>44.22</v>
      </c>
      <c r="AD10" s="476">
        <v>7.37</v>
      </c>
      <c r="AE10" s="350">
        <f t="shared" si="7"/>
        <v>325.90140000000002</v>
      </c>
      <c r="AF10" s="479">
        <v>125</v>
      </c>
      <c r="AG10" s="350">
        <f t="shared" si="2"/>
        <v>5527.5</v>
      </c>
      <c r="AH10" s="487">
        <v>19.32</v>
      </c>
      <c r="AI10" s="350">
        <f t="shared" si="3"/>
        <v>854.33039999999994</v>
      </c>
      <c r="AJ10" s="350">
        <v>0</v>
      </c>
      <c r="AL10" s="145" t="s">
        <v>264</v>
      </c>
      <c r="AM10" s="473" t="s">
        <v>202</v>
      </c>
      <c r="AN10" s="505">
        <v>1</v>
      </c>
      <c r="AO10" s="350">
        <v>44.22</v>
      </c>
      <c r="AP10" s="476">
        <v>7.37</v>
      </c>
      <c r="AQ10" s="350">
        <f t="shared" si="8"/>
        <v>325.90140000000002</v>
      </c>
      <c r="AR10" s="479">
        <v>125</v>
      </c>
      <c r="AS10" s="350">
        <f t="shared" si="4"/>
        <v>5527.5</v>
      </c>
      <c r="AT10" s="480">
        <v>19.32</v>
      </c>
      <c r="AU10" s="350">
        <f t="shared" si="5"/>
        <v>854.33039999999994</v>
      </c>
      <c r="AV10" s="350">
        <v>0</v>
      </c>
    </row>
    <row r="11" spans="2:48" ht="15">
      <c r="B11" s="145" t="s">
        <v>264</v>
      </c>
      <c r="C11" s="473" t="s">
        <v>203</v>
      </c>
      <c r="D11" s="505"/>
      <c r="E11" s="350"/>
      <c r="F11" s="223"/>
      <c r="G11" s="350"/>
      <c r="H11" s="223"/>
      <c r="I11" s="350"/>
      <c r="J11" s="223"/>
      <c r="K11" s="350"/>
      <c r="L11" s="350"/>
      <c r="N11" s="145" t="s">
        <v>264</v>
      </c>
      <c r="O11" s="473" t="s">
        <v>203</v>
      </c>
      <c r="P11" s="505">
        <v>1</v>
      </c>
      <c r="Q11" s="350">
        <v>44.22</v>
      </c>
      <c r="R11" s="476">
        <v>7.37</v>
      </c>
      <c r="S11" s="350">
        <f t="shared" si="6"/>
        <v>325.90140000000002</v>
      </c>
      <c r="T11" s="548">
        <v>125</v>
      </c>
      <c r="U11" s="350">
        <f t="shared" si="0"/>
        <v>5527.5</v>
      </c>
      <c r="V11" s="487">
        <v>-19.32</v>
      </c>
      <c r="W11" s="350">
        <f t="shared" si="1"/>
        <v>-854.33039999999994</v>
      </c>
      <c r="X11" s="465">
        <v>0</v>
      </c>
      <c r="Z11" s="145" t="s">
        <v>264</v>
      </c>
      <c r="AA11" s="473" t="s">
        <v>203</v>
      </c>
      <c r="AB11" s="505">
        <v>1</v>
      </c>
      <c r="AC11" s="350">
        <v>44.22</v>
      </c>
      <c r="AD11" s="476">
        <v>7.37</v>
      </c>
      <c r="AE11" s="350">
        <f t="shared" si="7"/>
        <v>325.90140000000002</v>
      </c>
      <c r="AF11" s="479">
        <v>125</v>
      </c>
      <c r="AG11" s="350">
        <f t="shared" si="2"/>
        <v>5527.5</v>
      </c>
      <c r="AH11" s="487">
        <v>-19.32</v>
      </c>
      <c r="AI11" s="350">
        <f t="shared" si="3"/>
        <v>-854.33039999999994</v>
      </c>
      <c r="AJ11" s="350">
        <v>0</v>
      </c>
      <c r="AL11" s="145" t="s">
        <v>264</v>
      </c>
      <c r="AM11" s="473" t="s">
        <v>203</v>
      </c>
      <c r="AN11" s="505">
        <v>1</v>
      </c>
      <c r="AO11" s="350">
        <v>44.22</v>
      </c>
      <c r="AP11" s="476">
        <v>7.37</v>
      </c>
      <c r="AQ11" s="350">
        <f t="shared" si="8"/>
        <v>325.90140000000002</v>
      </c>
      <c r="AR11" s="479">
        <v>125</v>
      </c>
      <c r="AS11" s="350">
        <f t="shared" si="4"/>
        <v>5527.5</v>
      </c>
      <c r="AT11" s="480">
        <v>-19.32</v>
      </c>
      <c r="AU11" s="350">
        <f t="shared" si="5"/>
        <v>-854.33039999999994</v>
      </c>
      <c r="AV11" s="350">
        <v>0</v>
      </c>
    </row>
    <row r="12" spans="2:48" ht="15">
      <c r="B12" s="145" t="s">
        <v>264</v>
      </c>
      <c r="C12" s="473" t="s">
        <v>204</v>
      </c>
      <c r="D12" s="506"/>
      <c r="E12" s="350"/>
      <c r="F12" s="229"/>
      <c r="G12" s="351"/>
      <c r="H12" s="229"/>
      <c r="I12" s="351"/>
      <c r="J12" s="229"/>
      <c r="K12" s="352"/>
      <c r="L12" s="350"/>
      <c r="N12" s="145" t="s">
        <v>264</v>
      </c>
      <c r="O12" s="473" t="s">
        <v>204</v>
      </c>
      <c r="P12" s="506">
        <v>1</v>
      </c>
      <c r="Q12" s="350">
        <v>39.979999999999997</v>
      </c>
      <c r="R12" s="476">
        <v>2.71</v>
      </c>
      <c r="S12" s="350">
        <f t="shared" si="6"/>
        <v>108.3458</v>
      </c>
      <c r="T12" s="548">
        <v>143.35</v>
      </c>
      <c r="U12" s="350">
        <f t="shared" si="0"/>
        <v>5731.1329999999989</v>
      </c>
      <c r="V12" s="487">
        <v>11.59</v>
      </c>
      <c r="W12" s="350">
        <f t="shared" si="1"/>
        <v>463.36819999999994</v>
      </c>
      <c r="X12" s="465">
        <v>0</v>
      </c>
      <c r="Z12" s="145" t="s">
        <v>264</v>
      </c>
      <c r="AA12" s="473" t="s">
        <v>204</v>
      </c>
      <c r="AB12" s="506">
        <v>1</v>
      </c>
      <c r="AC12" s="350">
        <v>39.979999999999997</v>
      </c>
      <c r="AD12" s="476">
        <v>2.71</v>
      </c>
      <c r="AE12" s="350">
        <f t="shared" si="7"/>
        <v>108.3458</v>
      </c>
      <c r="AF12" s="479">
        <v>143.35</v>
      </c>
      <c r="AG12" s="350">
        <f t="shared" si="2"/>
        <v>5731.1329999999989</v>
      </c>
      <c r="AH12" s="487">
        <v>11.59</v>
      </c>
      <c r="AI12" s="350">
        <f t="shared" si="3"/>
        <v>463.36819999999994</v>
      </c>
      <c r="AJ12" s="350">
        <v>0</v>
      </c>
      <c r="AL12" s="145" t="s">
        <v>264</v>
      </c>
      <c r="AM12" s="473" t="s">
        <v>204</v>
      </c>
      <c r="AN12" s="506">
        <v>1</v>
      </c>
      <c r="AO12" s="350">
        <v>39.979999999999997</v>
      </c>
      <c r="AP12" s="476">
        <v>2.71</v>
      </c>
      <c r="AQ12" s="350">
        <f t="shared" si="8"/>
        <v>108.3458</v>
      </c>
      <c r="AR12" s="479">
        <v>143.35</v>
      </c>
      <c r="AS12" s="350">
        <f t="shared" si="4"/>
        <v>5731.1329999999989</v>
      </c>
      <c r="AT12" s="480">
        <v>11.59</v>
      </c>
      <c r="AU12" s="350">
        <f t="shared" si="5"/>
        <v>463.36819999999994</v>
      </c>
      <c r="AV12" s="350">
        <v>0</v>
      </c>
    </row>
    <row r="13" spans="2:48" ht="15">
      <c r="B13" s="145" t="s">
        <v>264</v>
      </c>
      <c r="C13" s="473" t="s">
        <v>205</v>
      </c>
      <c r="D13" s="505"/>
      <c r="E13" s="350"/>
      <c r="F13" s="223"/>
      <c r="G13" s="350"/>
      <c r="H13" s="223"/>
      <c r="I13" s="350"/>
      <c r="J13" s="223"/>
      <c r="K13" s="350"/>
      <c r="L13" s="350"/>
      <c r="N13" s="145" t="s">
        <v>264</v>
      </c>
      <c r="O13" s="473" t="s">
        <v>205</v>
      </c>
      <c r="P13" s="505">
        <v>1</v>
      </c>
      <c r="Q13" s="350">
        <v>39.979999999999997</v>
      </c>
      <c r="R13" s="476">
        <v>2.71</v>
      </c>
      <c r="S13" s="350">
        <f t="shared" si="6"/>
        <v>108.3458</v>
      </c>
      <c r="T13" s="548">
        <v>143.35</v>
      </c>
      <c r="U13" s="350">
        <f t="shared" si="0"/>
        <v>5731.1329999999989</v>
      </c>
      <c r="V13" s="487">
        <v>-11.59</v>
      </c>
      <c r="W13" s="350">
        <f t="shared" si="1"/>
        <v>-463.36819999999994</v>
      </c>
      <c r="X13" s="465">
        <v>0</v>
      </c>
      <c r="Z13" s="145" t="s">
        <v>264</v>
      </c>
      <c r="AA13" s="473" t="s">
        <v>205</v>
      </c>
      <c r="AB13" s="505">
        <v>1</v>
      </c>
      <c r="AC13" s="350">
        <v>39.979999999999997</v>
      </c>
      <c r="AD13" s="476">
        <v>2.71</v>
      </c>
      <c r="AE13" s="350">
        <f t="shared" si="7"/>
        <v>108.3458</v>
      </c>
      <c r="AF13" s="479">
        <v>143.35</v>
      </c>
      <c r="AG13" s="350">
        <f t="shared" si="2"/>
        <v>5731.1329999999989</v>
      </c>
      <c r="AH13" s="487">
        <v>-11.59</v>
      </c>
      <c r="AI13" s="350">
        <f t="shared" si="3"/>
        <v>-463.36819999999994</v>
      </c>
      <c r="AJ13" s="350">
        <v>0</v>
      </c>
      <c r="AL13" s="145" t="s">
        <v>264</v>
      </c>
      <c r="AM13" s="473" t="s">
        <v>205</v>
      </c>
      <c r="AN13" s="505">
        <v>1</v>
      </c>
      <c r="AO13" s="350">
        <v>39.979999999999997</v>
      </c>
      <c r="AP13" s="476">
        <v>2.71</v>
      </c>
      <c r="AQ13" s="350">
        <f t="shared" si="8"/>
        <v>108.3458</v>
      </c>
      <c r="AR13" s="479">
        <v>143.35</v>
      </c>
      <c r="AS13" s="350">
        <f t="shared" si="4"/>
        <v>5731.1329999999989</v>
      </c>
      <c r="AT13" s="480">
        <v>-11.59</v>
      </c>
      <c r="AU13" s="350">
        <f t="shared" si="5"/>
        <v>-463.36819999999994</v>
      </c>
      <c r="AV13" s="350">
        <v>0</v>
      </c>
    </row>
    <row r="14" spans="2:48" ht="15">
      <c r="B14" s="145" t="s">
        <v>264</v>
      </c>
      <c r="C14" s="473" t="s">
        <v>206</v>
      </c>
      <c r="D14" s="505"/>
      <c r="E14" s="350"/>
      <c r="F14" s="223"/>
      <c r="G14" s="350"/>
      <c r="H14" s="223"/>
      <c r="I14" s="350"/>
      <c r="J14" s="223"/>
      <c r="K14" s="350"/>
      <c r="L14" s="350"/>
      <c r="N14" s="145" t="s">
        <v>264</v>
      </c>
      <c r="O14" s="473" t="s">
        <v>206</v>
      </c>
      <c r="P14" s="505">
        <v>0</v>
      </c>
      <c r="Q14" s="350">
        <v>0</v>
      </c>
      <c r="R14" s="476">
        <v>6.41</v>
      </c>
      <c r="S14" s="350">
        <f t="shared" si="6"/>
        <v>0</v>
      </c>
      <c r="T14" s="548">
        <v>160.97</v>
      </c>
      <c r="U14" s="350">
        <f t="shared" si="0"/>
        <v>0</v>
      </c>
      <c r="V14" s="487">
        <v>14.54</v>
      </c>
      <c r="W14" s="350">
        <f t="shared" si="1"/>
        <v>0</v>
      </c>
      <c r="X14" s="465">
        <v>0</v>
      </c>
      <c r="Z14" s="145" t="s">
        <v>264</v>
      </c>
      <c r="AA14" s="473" t="s">
        <v>206</v>
      </c>
      <c r="AB14" s="505">
        <v>1</v>
      </c>
      <c r="AC14" s="350">
        <v>63.36</v>
      </c>
      <c r="AD14" s="476">
        <v>6.41</v>
      </c>
      <c r="AE14" s="350">
        <f t="shared" si="7"/>
        <v>406.13760000000002</v>
      </c>
      <c r="AF14" s="479">
        <v>160.97</v>
      </c>
      <c r="AG14" s="350">
        <f t="shared" si="2"/>
        <v>10199.0592</v>
      </c>
      <c r="AH14" s="487">
        <v>14.54</v>
      </c>
      <c r="AI14" s="350">
        <f t="shared" si="3"/>
        <v>921.25439999999992</v>
      </c>
      <c r="AJ14" s="350">
        <v>0</v>
      </c>
      <c r="AL14" s="145" t="s">
        <v>264</v>
      </c>
      <c r="AM14" s="473" t="s">
        <v>206</v>
      </c>
      <c r="AN14" s="505">
        <v>1</v>
      </c>
      <c r="AO14" s="350">
        <v>63.36</v>
      </c>
      <c r="AP14" s="476">
        <v>6.41</v>
      </c>
      <c r="AQ14" s="350">
        <f t="shared" si="8"/>
        <v>406.13760000000002</v>
      </c>
      <c r="AR14" s="479">
        <v>160.97</v>
      </c>
      <c r="AS14" s="350">
        <f t="shared" si="4"/>
        <v>10199.0592</v>
      </c>
      <c r="AT14" s="480">
        <v>14.54</v>
      </c>
      <c r="AU14" s="350">
        <f t="shared" si="5"/>
        <v>921.25439999999992</v>
      </c>
      <c r="AV14" s="350">
        <v>0</v>
      </c>
    </row>
    <row r="15" spans="2:48" ht="15">
      <c r="B15" s="145" t="s">
        <v>264</v>
      </c>
      <c r="C15" s="473" t="s">
        <v>207</v>
      </c>
      <c r="D15" s="505"/>
      <c r="E15" s="350"/>
      <c r="F15" s="223"/>
      <c r="G15" s="350"/>
      <c r="H15" s="223"/>
      <c r="I15" s="350"/>
      <c r="J15" s="223"/>
      <c r="K15" s="350"/>
      <c r="L15" s="350"/>
      <c r="N15" s="145" t="s">
        <v>264</v>
      </c>
      <c r="O15" s="473" t="s">
        <v>207</v>
      </c>
      <c r="P15" s="505">
        <v>0</v>
      </c>
      <c r="Q15" s="350">
        <v>0</v>
      </c>
      <c r="R15" s="476">
        <v>6.41</v>
      </c>
      <c r="S15" s="350">
        <f t="shared" si="6"/>
        <v>0</v>
      </c>
      <c r="T15" s="548">
        <v>160.97</v>
      </c>
      <c r="U15" s="350">
        <f t="shared" si="0"/>
        <v>0</v>
      </c>
      <c r="V15" s="487">
        <v>-14.54</v>
      </c>
      <c r="W15" s="350">
        <f t="shared" si="1"/>
        <v>0</v>
      </c>
      <c r="X15" s="465">
        <v>0</v>
      </c>
      <c r="Z15" s="145" t="s">
        <v>264</v>
      </c>
      <c r="AA15" s="473" t="s">
        <v>207</v>
      </c>
      <c r="AB15" s="505">
        <v>1</v>
      </c>
      <c r="AC15" s="350">
        <v>63.36</v>
      </c>
      <c r="AD15" s="476">
        <v>6.41</v>
      </c>
      <c r="AE15" s="350">
        <f t="shared" si="7"/>
        <v>406.13760000000002</v>
      </c>
      <c r="AF15" s="479">
        <v>160.97</v>
      </c>
      <c r="AG15" s="350">
        <f t="shared" si="2"/>
        <v>10199.0592</v>
      </c>
      <c r="AH15" s="487">
        <v>-14.54</v>
      </c>
      <c r="AI15" s="350">
        <f t="shared" si="3"/>
        <v>-921.25439999999992</v>
      </c>
      <c r="AJ15" s="350">
        <v>0</v>
      </c>
      <c r="AL15" s="145" t="s">
        <v>264</v>
      </c>
      <c r="AM15" s="473" t="s">
        <v>207</v>
      </c>
      <c r="AN15" s="505">
        <v>1</v>
      </c>
      <c r="AO15" s="350">
        <v>63.36</v>
      </c>
      <c r="AP15" s="476">
        <v>6.41</v>
      </c>
      <c r="AQ15" s="350">
        <f t="shared" si="8"/>
        <v>406.13760000000002</v>
      </c>
      <c r="AR15" s="479">
        <v>160.97</v>
      </c>
      <c r="AS15" s="350">
        <f t="shared" si="4"/>
        <v>10199.0592</v>
      </c>
      <c r="AT15" s="480">
        <v>-14.54</v>
      </c>
      <c r="AU15" s="350">
        <f t="shared" si="5"/>
        <v>-921.25439999999992</v>
      </c>
      <c r="AV15" s="350">
        <v>0</v>
      </c>
    </row>
    <row r="16" spans="2:48" ht="15">
      <c r="B16" s="145" t="s">
        <v>264</v>
      </c>
      <c r="C16" s="473" t="s">
        <v>208</v>
      </c>
      <c r="D16" s="506"/>
      <c r="E16" s="350"/>
      <c r="F16" s="223"/>
      <c r="G16" s="350"/>
      <c r="H16" s="223"/>
      <c r="I16" s="350"/>
      <c r="J16" s="223"/>
      <c r="K16" s="350"/>
      <c r="L16" s="350"/>
      <c r="N16" s="145" t="s">
        <v>264</v>
      </c>
      <c r="O16" s="473" t="s">
        <v>208</v>
      </c>
      <c r="P16" s="506">
        <v>0</v>
      </c>
      <c r="Q16" s="350">
        <v>0</v>
      </c>
      <c r="R16" s="476">
        <v>8.39</v>
      </c>
      <c r="S16" s="350">
        <f t="shared" si="6"/>
        <v>0</v>
      </c>
      <c r="T16" s="548">
        <v>178.87</v>
      </c>
      <c r="U16" s="350">
        <f t="shared" si="0"/>
        <v>0</v>
      </c>
      <c r="V16" s="487">
        <v>14.15</v>
      </c>
      <c r="W16" s="350">
        <f t="shared" si="1"/>
        <v>0</v>
      </c>
      <c r="X16" s="465">
        <v>0</v>
      </c>
      <c r="Z16" s="145" t="s">
        <v>264</v>
      </c>
      <c r="AA16" s="473" t="s">
        <v>208</v>
      </c>
      <c r="AB16" s="506">
        <v>1</v>
      </c>
      <c r="AC16" s="350">
        <v>58.95</v>
      </c>
      <c r="AD16" s="476">
        <v>8.39</v>
      </c>
      <c r="AE16" s="350">
        <f t="shared" si="7"/>
        <v>494.59050000000008</v>
      </c>
      <c r="AF16" s="479">
        <v>178.87</v>
      </c>
      <c r="AG16" s="350">
        <f t="shared" si="2"/>
        <v>10544.386500000001</v>
      </c>
      <c r="AH16" s="487">
        <v>14.15</v>
      </c>
      <c r="AI16" s="350">
        <f t="shared" si="3"/>
        <v>834.14250000000004</v>
      </c>
      <c r="AJ16" s="350">
        <v>0</v>
      </c>
      <c r="AL16" s="145" t="s">
        <v>264</v>
      </c>
      <c r="AM16" s="473" t="s">
        <v>208</v>
      </c>
      <c r="AN16" s="506">
        <v>1</v>
      </c>
      <c r="AO16" s="350">
        <v>58.95</v>
      </c>
      <c r="AP16" s="476">
        <v>8.39</v>
      </c>
      <c r="AQ16" s="350">
        <f t="shared" si="8"/>
        <v>494.59050000000008</v>
      </c>
      <c r="AR16" s="479">
        <v>178.87</v>
      </c>
      <c r="AS16" s="350">
        <f t="shared" si="4"/>
        <v>10544.386500000001</v>
      </c>
      <c r="AT16" s="480">
        <v>14.15</v>
      </c>
      <c r="AU16" s="350">
        <f t="shared" si="5"/>
        <v>834.14250000000004</v>
      </c>
      <c r="AV16" s="350">
        <v>0</v>
      </c>
    </row>
    <row r="17" spans="2:48" ht="15">
      <c r="B17" s="145" t="s">
        <v>264</v>
      </c>
      <c r="C17" s="473" t="s">
        <v>209</v>
      </c>
      <c r="D17" s="505"/>
      <c r="E17" s="350"/>
      <c r="F17" s="223"/>
      <c r="G17" s="350"/>
      <c r="H17" s="223"/>
      <c r="I17" s="350"/>
      <c r="J17" s="223"/>
      <c r="K17" s="350"/>
      <c r="L17" s="350"/>
      <c r="N17" s="145" t="s">
        <v>264</v>
      </c>
      <c r="O17" s="473" t="s">
        <v>209</v>
      </c>
      <c r="P17" s="505">
        <v>0</v>
      </c>
      <c r="Q17" s="350">
        <v>0</v>
      </c>
      <c r="R17" s="476">
        <v>8.39</v>
      </c>
      <c r="S17" s="350">
        <f t="shared" si="6"/>
        <v>0</v>
      </c>
      <c r="T17" s="548">
        <v>178.87</v>
      </c>
      <c r="U17" s="350">
        <f t="shared" si="0"/>
        <v>0</v>
      </c>
      <c r="V17" s="487">
        <v>-14.15</v>
      </c>
      <c r="W17" s="350">
        <f t="shared" si="1"/>
        <v>0</v>
      </c>
      <c r="X17" s="465">
        <v>0</v>
      </c>
      <c r="Z17" s="145" t="s">
        <v>264</v>
      </c>
      <c r="AA17" s="473" t="s">
        <v>209</v>
      </c>
      <c r="AB17" s="505">
        <v>0</v>
      </c>
      <c r="AC17" s="350">
        <v>0</v>
      </c>
      <c r="AD17" s="476">
        <v>8.39</v>
      </c>
      <c r="AE17" s="350">
        <f t="shared" si="7"/>
        <v>0</v>
      </c>
      <c r="AF17" s="479">
        <v>178.87</v>
      </c>
      <c r="AG17" s="350">
        <f t="shared" si="2"/>
        <v>0</v>
      </c>
      <c r="AH17" s="487">
        <v>-14.15</v>
      </c>
      <c r="AI17" s="350">
        <f t="shared" si="3"/>
        <v>0</v>
      </c>
      <c r="AJ17" s="350">
        <v>0</v>
      </c>
      <c r="AL17" s="145" t="s">
        <v>264</v>
      </c>
      <c r="AM17" s="473" t="s">
        <v>209</v>
      </c>
      <c r="AN17" s="505">
        <v>0</v>
      </c>
      <c r="AO17" s="350">
        <v>0</v>
      </c>
      <c r="AP17" s="476">
        <v>8.39</v>
      </c>
      <c r="AQ17" s="350">
        <f t="shared" si="8"/>
        <v>0</v>
      </c>
      <c r="AR17" s="479">
        <v>178.87</v>
      </c>
      <c r="AS17" s="350">
        <f t="shared" si="4"/>
        <v>0</v>
      </c>
      <c r="AT17" s="480">
        <v>-14.15</v>
      </c>
      <c r="AU17" s="350">
        <f t="shared" si="5"/>
        <v>0</v>
      </c>
      <c r="AV17" s="350">
        <v>0</v>
      </c>
    </row>
    <row r="18" spans="2:48" ht="15">
      <c r="B18" s="145" t="s">
        <v>264</v>
      </c>
      <c r="C18" s="473" t="s">
        <v>211</v>
      </c>
      <c r="D18" s="505"/>
      <c r="E18" s="350"/>
      <c r="F18" s="223"/>
      <c r="G18" s="350"/>
      <c r="H18" s="223"/>
      <c r="I18" s="350"/>
      <c r="J18" s="223"/>
      <c r="K18" s="350"/>
      <c r="L18" s="350"/>
      <c r="N18" s="145" t="s">
        <v>264</v>
      </c>
      <c r="O18" s="473" t="s">
        <v>211</v>
      </c>
      <c r="P18" s="505">
        <v>0</v>
      </c>
      <c r="Q18" s="350">
        <v>0</v>
      </c>
      <c r="R18" s="476">
        <v>11.97</v>
      </c>
      <c r="S18" s="350">
        <f t="shared" si="6"/>
        <v>0</v>
      </c>
      <c r="T18" s="548">
        <v>196.75</v>
      </c>
      <c r="U18" s="350">
        <f t="shared" si="0"/>
        <v>0</v>
      </c>
      <c r="V18" s="487">
        <v>13.09</v>
      </c>
      <c r="W18" s="350">
        <f t="shared" si="1"/>
        <v>0</v>
      </c>
      <c r="X18" s="465">
        <v>0</v>
      </c>
      <c r="Z18" s="145" t="s">
        <v>264</v>
      </c>
      <c r="AA18" s="473" t="s">
        <v>211</v>
      </c>
      <c r="AB18" s="505">
        <v>1E-3</v>
      </c>
      <c r="AC18" s="350">
        <v>0</v>
      </c>
      <c r="AD18" s="476">
        <v>11.97</v>
      </c>
      <c r="AE18" s="350">
        <f t="shared" si="7"/>
        <v>0</v>
      </c>
      <c r="AF18" s="479">
        <v>196.75</v>
      </c>
      <c r="AG18" s="350">
        <f t="shared" si="2"/>
        <v>0</v>
      </c>
      <c r="AH18" s="487">
        <v>13.09</v>
      </c>
      <c r="AI18" s="350">
        <f t="shared" si="3"/>
        <v>0</v>
      </c>
      <c r="AJ18" s="350">
        <v>0</v>
      </c>
      <c r="AL18" s="145" t="s">
        <v>264</v>
      </c>
      <c r="AM18" s="473" t="s">
        <v>211</v>
      </c>
      <c r="AN18" s="505">
        <v>1</v>
      </c>
      <c r="AO18" s="350">
        <v>49.43</v>
      </c>
      <c r="AP18" s="476">
        <v>11.97</v>
      </c>
      <c r="AQ18" s="350">
        <f t="shared" si="8"/>
        <v>591.6771</v>
      </c>
      <c r="AR18" s="479">
        <v>196.75</v>
      </c>
      <c r="AS18" s="350">
        <f t="shared" si="4"/>
        <v>9725.3524999999991</v>
      </c>
      <c r="AT18" s="480">
        <v>13.09</v>
      </c>
      <c r="AU18" s="350">
        <f t="shared" si="5"/>
        <v>647.03869999999995</v>
      </c>
      <c r="AV18" s="350">
        <v>0</v>
      </c>
    </row>
    <row r="19" spans="2:48" ht="15">
      <c r="B19" s="169" t="s">
        <v>264</v>
      </c>
      <c r="C19" s="474" t="s">
        <v>210</v>
      </c>
      <c r="D19" s="512"/>
      <c r="E19" s="353"/>
      <c r="F19" s="223"/>
      <c r="G19" s="353"/>
      <c r="H19" s="223"/>
      <c r="I19" s="353"/>
      <c r="J19" s="223"/>
      <c r="K19" s="353"/>
      <c r="L19" s="353"/>
      <c r="N19" s="145" t="s">
        <v>264</v>
      </c>
      <c r="O19" s="473" t="s">
        <v>210</v>
      </c>
      <c r="P19" s="505">
        <v>0</v>
      </c>
      <c r="Q19" s="350">
        <v>0</v>
      </c>
      <c r="R19" s="476">
        <v>11.97</v>
      </c>
      <c r="S19" s="350">
        <f>R19*Q19</f>
        <v>0</v>
      </c>
      <c r="T19" s="548">
        <v>196.75</v>
      </c>
      <c r="U19" s="353">
        <f t="shared" si="0"/>
        <v>0</v>
      </c>
      <c r="V19" s="487">
        <v>-13.09</v>
      </c>
      <c r="W19" s="353">
        <f t="shared" si="1"/>
        <v>0</v>
      </c>
      <c r="X19" s="465">
        <v>0</v>
      </c>
      <c r="Z19" s="145" t="s">
        <v>264</v>
      </c>
      <c r="AA19" s="473" t="s">
        <v>210</v>
      </c>
      <c r="AB19" s="505">
        <v>1E-3</v>
      </c>
      <c r="AC19" s="350">
        <v>0</v>
      </c>
      <c r="AD19" s="476">
        <v>11.97</v>
      </c>
      <c r="AE19" s="350">
        <f>AD19*AC19</f>
        <v>0</v>
      </c>
      <c r="AF19" s="479">
        <v>196.75</v>
      </c>
      <c r="AG19" s="353">
        <f t="shared" si="2"/>
        <v>0</v>
      </c>
      <c r="AH19" s="487">
        <v>-13.09</v>
      </c>
      <c r="AI19" s="353">
        <f>AC19*AH19</f>
        <v>0</v>
      </c>
      <c r="AJ19" s="350">
        <v>0</v>
      </c>
      <c r="AL19" s="145" t="s">
        <v>264</v>
      </c>
      <c r="AM19" s="473" t="s">
        <v>210</v>
      </c>
      <c r="AN19" s="505">
        <v>0</v>
      </c>
      <c r="AO19" s="350">
        <v>0</v>
      </c>
      <c r="AP19" s="476">
        <v>11.97</v>
      </c>
      <c r="AQ19" s="350">
        <f>AP19*AO19</f>
        <v>0</v>
      </c>
      <c r="AR19" s="479">
        <v>196.75</v>
      </c>
      <c r="AS19" s="353">
        <f t="shared" si="4"/>
        <v>0</v>
      </c>
      <c r="AT19" s="480">
        <v>-13.09</v>
      </c>
      <c r="AU19" s="353">
        <f t="shared" si="5"/>
        <v>0</v>
      </c>
      <c r="AV19" s="350">
        <v>0</v>
      </c>
    </row>
    <row r="20" spans="2:48" ht="15">
      <c r="B20" s="339" t="s">
        <v>21</v>
      </c>
      <c r="C20" s="347"/>
      <c r="D20" s="507"/>
      <c r="E20" s="340"/>
      <c r="F20" s="340"/>
      <c r="G20" s="340"/>
      <c r="H20" s="340"/>
      <c r="I20" s="340"/>
      <c r="J20" s="340"/>
      <c r="K20" s="340"/>
      <c r="L20" s="344"/>
      <c r="N20" s="339" t="s">
        <v>21</v>
      </c>
      <c r="O20" s="347"/>
      <c r="P20" s="507"/>
      <c r="Q20" s="340"/>
      <c r="R20" s="340"/>
      <c r="S20" s="340"/>
      <c r="T20" s="340"/>
      <c r="U20" s="340"/>
      <c r="V20" s="340"/>
      <c r="W20" s="340"/>
      <c r="X20" s="344"/>
      <c r="Y20" s="335"/>
      <c r="Z20" s="339" t="s">
        <v>21</v>
      </c>
      <c r="AA20" s="347"/>
      <c r="AB20" s="507"/>
      <c r="AC20" s="340"/>
      <c r="AD20" s="340"/>
      <c r="AE20" s="340"/>
      <c r="AF20" s="340"/>
      <c r="AG20" s="340"/>
      <c r="AH20" s="340"/>
      <c r="AI20" s="340"/>
      <c r="AJ20" s="344"/>
      <c r="AK20" s="335"/>
      <c r="AL20" s="339" t="s">
        <v>21</v>
      </c>
      <c r="AM20" s="347"/>
      <c r="AN20" s="507"/>
      <c r="AO20" s="469"/>
      <c r="AP20" s="340"/>
      <c r="AQ20" s="340"/>
      <c r="AR20" s="340"/>
      <c r="AS20" s="340"/>
      <c r="AT20" s="340"/>
      <c r="AU20" s="340"/>
      <c r="AV20" s="344"/>
    </row>
    <row r="21" spans="2:48" ht="15">
      <c r="B21" s="343" t="s">
        <v>45</v>
      </c>
      <c r="C21" s="475" t="s">
        <v>229</v>
      </c>
      <c r="D21" s="508"/>
      <c r="E21" s="223"/>
      <c r="F21" s="345"/>
      <c r="G21" s="223"/>
      <c r="H21" s="345"/>
      <c r="I21" s="345"/>
      <c r="J21" s="223"/>
      <c r="K21" s="345"/>
      <c r="L21" s="345"/>
      <c r="N21" s="145" t="s">
        <v>45</v>
      </c>
      <c r="O21" s="475" t="s">
        <v>229</v>
      </c>
      <c r="P21" s="508">
        <v>0.95</v>
      </c>
      <c r="Q21" s="345">
        <v>33.21</v>
      </c>
      <c r="R21" s="488">
        <v>13.17</v>
      </c>
      <c r="S21" s="345">
        <f t="shared" ref="S21:S36" si="9">Q21*R21</f>
        <v>437.37569999999999</v>
      </c>
      <c r="T21" s="549">
        <v>66.569999999999993</v>
      </c>
      <c r="U21" s="345">
        <f>Q21*T21</f>
        <v>2210.7896999999998</v>
      </c>
      <c r="V21" s="552">
        <v>15.28</v>
      </c>
      <c r="W21" s="345">
        <f>Q21*V21</f>
        <v>507.44880000000001</v>
      </c>
      <c r="X21" s="618">
        <v>31.26</v>
      </c>
      <c r="Y21" s="441"/>
      <c r="Z21" s="616" t="s">
        <v>45</v>
      </c>
      <c r="AA21" s="472" t="s">
        <v>229</v>
      </c>
      <c r="AB21" s="515">
        <v>0</v>
      </c>
      <c r="AC21" s="345">
        <v>0</v>
      </c>
      <c r="AD21" s="485">
        <v>13.17</v>
      </c>
      <c r="AE21" s="345">
        <f t="shared" ref="AE21:AE36" si="10">AC21*AD21</f>
        <v>0</v>
      </c>
      <c r="AF21" s="486">
        <v>66.569999999999993</v>
      </c>
      <c r="AG21" s="345">
        <f>AC21*AF21</f>
        <v>0</v>
      </c>
      <c r="AH21" s="552">
        <v>15.28</v>
      </c>
      <c r="AI21" s="345">
        <f>AC21*AH21</f>
        <v>0</v>
      </c>
      <c r="AJ21" s="345">
        <v>0</v>
      </c>
      <c r="AK21" s="441"/>
      <c r="AL21" s="616" t="s">
        <v>45</v>
      </c>
      <c r="AM21" s="472" t="s">
        <v>229</v>
      </c>
      <c r="AN21" s="557">
        <v>0</v>
      </c>
      <c r="AO21" s="345">
        <v>0</v>
      </c>
      <c r="AP21" s="558">
        <v>13.17</v>
      </c>
      <c r="AQ21" s="345">
        <f t="shared" ref="AQ21:AQ36" si="11">AO21*AP21</f>
        <v>0</v>
      </c>
      <c r="AR21" s="477">
        <v>66.569999999999993</v>
      </c>
      <c r="AS21" s="345">
        <f>AO21*AR21</f>
        <v>0</v>
      </c>
      <c r="AT21" s="478">
        <v>15.28</v>
      </c>
      <c r="AU21" s="345">
        <f>AO21*AT21</f>
        <v>0</v>
      </c>
      <c r="AV21" s="345">
        <v>0</v>
      </c>
    </row>
    <row r="22" spans="2:48" ht="15">
      <c r="B22" s="145" t="s">
        <v>45</v>
      </c>
      <c r="C22" s="475" t="s">
        <v>230</v>
      </c>
      <c r="D22" s="505"/>
      <c r="E22" s="223"/>
      <c r="F22" s="350"/>
      <c r="G22" s="223"/>
      <c r="H22" s="350"/>
      <c r="I22" s="350"/>
      <c r="J22" s="223"/>
      <c r="K22" s="350"/>
      <c r="L22" s="350"/>
      <c r="N22" s="145" t="s">
        <v>45</v>
      </c>
      <c r="O22" s="475" t="s">
        <v>230</v>
      </c>
      <c r="P22" s="505">
        <v>0.95</v>
      </c>
      <c r="Q22" s="350">
        <v>32.15</v>
      </c>
      <c r="R22" s="476">
        <v>13.09</v>
      </c>
      <c r="S22" s="350">
        <f t="shared" si="9"/>
        <v>420.84349999999995</v>
      </c>
      <c r="T22" s="548">
        <v>66.209999999999994</v>
      </c>
      <c r="U22" s="350">
        <f t="shared" ref="U22:U36" si="12">Q22*T22</f>
        <v>2128.6514999999995</v>
      </c>
      <c r="V22" s="487">
        <v>-14.28</v>
      </c>
      <c r="W22" s="350">
        <f t="shared" ref="W22:W36" si="13">Q22*V22</f>
        <v>-459.10199999999998</v>
      </c>
      <c r="X22" s="618">
        <v>31.64</v>
      </c>
      <c r="Y22" s="441"/>
      <c r="Z22" s="617" t="s">
        <v>45</v>
      </c>
      <c r="AA22" s="473" t="s">
        <v>230</v>
      </c>
      <c r="AB22" s="515">
        <v>0</v>
      </c>
      <c r="AC22" s="350">
        <v>0</v>
      </c>
      <c r="AD22" s="485">
        <v>13.09</v>
      </c>
      <c r="AE22" s="350">
        <f t="shared" si="10"/>
        <v>0</v>
      </c>
      <c r="AF22" s="486">
        <v>66.209999999999994</v>
      </c>
      <c r="AG22" s="350">
        <f t="shared" ref="AG22:AG35" si="14">AC22*AF22</f>
        <v>0</v>
      </c>
      <c r="AH22" s="487">
        <v>-14.28</v>
      </c>
      <c r="AI22" s="350">
        <f t="shared" ref="AI22:AI35" si="15">AC22*AH22</f>
        <v>0</v>
      </c>
      <c r="AJ22" s="350">
        <v>0</v>
      </c>
      <c r="AK22" s="441"/>
      <c r="AL22" s="617" t="s">
        <v>45</v>
      </c>
      <c r="AM22" s="473" t="s">
        <v>230</v>
      </c>
      <c r="AN22" s="559">
        <v>0</v>
      </c>
      <c r="AO22" s="350">
        <v>0</v>
      </c>
      <c r="AP22" s="561">
        <v>13.09</v>
      </c>
      <c r="AQ22" s="350">
        <f t="shared" si="11"/>
        <v>0</v>
      </c>
      <c r="AR22" s="479">
        <v>66.209999999999994</v>
      </c>
      <c r="AS22" s="350">
        <f t="shared" ref="AS22:AS36" si="16">AO22*AR22</f>
        <v>0</v>
      </c>
      <c r="AT22" s="480">
        <v>-14.28</v>
      </c>
      <c r="AU22" s="350">
        <f t="shared" ref="AU22:AU36" si="17">AO22*AT22</f>
        <v>0</v>
      </c>
      <c r="AV22" s="350">
        <v>0</v>
      </c>
    </row>
    <row r="23" spans="2:48" ht="15">
      <c r="B23" s="145" t="s">
        <v>45</v>
      </c>
      <c r="C23" s="475" t="s">
        <v>232</v>
      </c>
      <c r="D23" s="505"/>
      <c r="E23" s="223"/>
      <c r="F23" s="350"/>
      <c r="G23" s="223"/>
      <c r="H23" s="350"/>
      <c r="I23" s="350"/>
      <c r="J23" s="223"/>
      <c r="K23" s="350"/>
      <c r="L23" s="350"/>
      <c r="N23" s="145" t="s">
        <v>45</v>
      </c>
      <c r="O23" s="475" t="s">
        <v>232</v>
      </c>
      <c r="P23" s="505">
        <v>0.95</v>
      </c>
      <c r="Q23" s="350">
        <v>72.709999999999994</v>
      </c>
      <c r="R23" s="476">
        <v>12.12</v>
      </c>
      <c r="S23" s="350">
        <f t="shared" si="9"/>
        <v>881.24519999999984</v>
      </c>
      <c r="T23" s="548">
        <v>143.13</v>
      </c>
      <c r="U23" s="350">
        <f t="shared" si="12"/>
        <v>10406.9823</v>
      </c>
      <c r="V23" s="487">
        <v>7.78</v>
      </c>
      <c r="W23" s="350">
        <f t="shared" si="13"/>
        <v>565.68380000000002</v>
      </c>
      <c r="X23" s="618">
        <v>98.24</v>
      </c>
      <c r="Y23" s="441"/>
      <c r="Z23" s="617" t="s">
        <v>45</v>
      </c>
      <c r="AA23" s="473" t="s">
        <v>232</v>
      </c>
      <c r="AB23" s="515">
        <v>0</v>
      </c>
      <c r="AC23" s="350">
        <v>0</v>
      </c>
      <c r="AD23" s="485">
        <v>12.12</v>
      </c>
      <c r="AE23" s="350">
        <f t="shared" si="10"/>
        <v>0</v>
      </c>
      <c r="AF23" s="486">
        <v>143.13</v>
      </c>
      <c r="AG23" s="350">
        <f t="shared" si="14"/>
        <v>0</v>
      </c>
      <c r="AH23" s="487">
        <v>7.78</v>
      </c>
      <c r="AI23" s="350">
        <f t="shared" si="15"/>
        <v>0</v>
      </c>
      <c r="AJ23" s="350">
        <v>0</v>
      </c>
      <c r="AK23" s="441"/>
      <c r="AL23" s="617" t="s">
        <v>45</v>
      </c>
      <c r="AM23" s="473" t="s">
        <v>232</v>
      </c>
      <c r="AN23" s="559">
        <v>0</v>
      </c>
      <c r="AO23" s="350">
        <v>0</v>
      </c>
      <c r="AP23" s="561">
        <v>12.12</v>
      </c>
      <c r="AQ23" s="350">
        <f t="shared" si="11"/>
        <v>0</v>
      </c>
      <c r="AR23" s="479">
        <v>143.13</v>
      </c>
      <c r="AS23" s="350">
        <f t="shared" si="16"/>
        <v>0</v>
      </c>
      <c r="AT23" s="480">
        <v>7.78</v>
      </c>
      <c r="AU23" s="350">
        <f t="shared" si="17"/>
        <v>0</v>
      </c>
      <c r="AV23" s="350">
        <v>0</v>
      </c>
    </row>
    <row r="24" spans="2:48" ht="15">
      <c r="B24" s="145" t="s">
        <v>45</v>
      </c>
      <c r="C24" s="475" t="s">
        <v>233</v>
      </c>
      <c r="D24" s="505"/>
      <c r="E24" s="223"/>
      <c r="F24" s="350"/>
      <c r="G24" s="223"/>
      <c r="H24" s="350"/>
      <c r="I24" s="350"/>
      <c r="J24" s="223"/>
      <c r="K24" s="350"/>
      <c r="L24" s="350"/>
      <c r="N24" s="145" t="s">
        <v>45</v>
      </c>
      <c r="O24" s="475" t="s">
        <v>233</v>
      </c>
      <c r="P24" s="505">
        <v>0.95</v>
      </c>
      <c r="Q24" s="350">
        <v>33.909999999999997</v>
      </c>
      <c r="R24" s="476">
        <v>9.91</v>
      </c>
      <c r="S24" s="350">
        <f t="shared" si="9"/>
        <v>336.04809999999998</v>
      </c>
      <c r="T24" s="548">
        <v>144.91999999999999</v>
      </c>
      <c r="U24" s="350">
        <f t="shared" si="12"/>
        <v>4914.2371999999987</v>
      </c>
      <c r="V24" s="487">
        <v>-7.62</v>
      </c>
      <c r="W24" s="350">
        <f t="shared" si="13"/>
        <v>-258.39419999999996</v>
      </c>
      <c r="X24" s="618">
        <v>26.87</v>
      </c>
      <c r="Y24" s="441"/>
      <c r="Z24" s="617" t="s">
        <v>45</v>
      </c>
      <c r="AA24" s="473" t="s">
        <v>233</v>
      </c>
      <c r="AB24" s="515">
        <v>0</v>
      </c>
      <c r="AC24" s="350">
        <v>0</v>
      </c>
      <c r="AD24" s="485">
        <v>9.91</v>
      </c>
      <c r="AE24" s="350">
        <f t="shared" si="10"/>
        <v>0</v>
      </c>
      <c r="AF24" s="486">
        <v>144.91999999999999</v>
      </c>
      <c r="AG24" s="350">
        <f t="shared" si="14"/>
        <v>0</v>
      </c>
      <c r="AH24" s="487">
        <v>-7.62</v>
      </c>
      <c r="AI24" s="350">
        <f t="shared" si="15"/>
        <v>0</v>
      </c>
      <c r="AJ24" s="350">
        <v>0</v>
      </c>
      <c r="AK24" s="441"/>
      <c r="AL24" s="617" t="s">
        <v>45</v>
      </c>
      <c r="AM24" s="473" t="s">
        <v>233</v>
      </c>
      <c r="AN24" s="559">
        <v>0</v>
      </c>
      <c r="AO24" s="350">
        <v>0</v>
      </c>
      <c r="AP24" s="561">
        <v>9.91</v>
      </c>
      <c r="AQ24" s="350">
        <f t="shared" si="11"/>
        <v>0</v>
      </c>
      <c r="AR24" s="479">
        <v>144.91999999999999</v>
      </c>
      <c r="AS24" s="350">
        <f t="shared" si="16"/>
        <v>0</v>
      </c>
      <c r="AT24" s="480">
        <v>-7.62</v>
      </c>
      <c r="AU24" s="350">
        <f t="shared" si="17"/>
        <v>0</v>
      </c>
      <c r="AV24" s="350">
        <v>0</v>
      </c>
    </row>
    <row r="25" spans="2:48" ht="15">
      <c r="B25" s="145" t="s">
        <v>45</v>
      </c>
      <c r="C25" s="475" t="s">
        <v>234</v>
      </c>
      <c r="D25" s="505"/>
      <c r="E25" s="223"/>
      <c r="F25" s="350"/>
      <c r="G25" s="223"/>
      <c r="H25" s="350"/>
      <c r="I25" s="350"/>
      <c r="J25" s="223"/>
      <c r="K25" s="350"/>
      <c r="L25" s="350"/>
      <c r="N25" s="145" t="s">
        <v>45</v>
      </c>
      <c r="O25" s="475" t="s">
        <v>234</v>
      </c>
      <c r="P25" s="505">
        <v>0.95</v>
      </c>
      <c r="Q25" s="350">
        <v>108.77</v>
      </c>
      <c r="R25" s="476">
        <v>11.67</v>
      </c>
      <c r="S25" s="350">
        <f t="shared" si="9"/>
        <v>1269.3459</v>
      </c>
      <c r="T25" s="548">
        <v>161.15</v>
      </c>
      <c r="U25" s="350">
        <f t="shared" si="12"/>
        <v>17528.285500000002</v>
      </c>
      <c r="V25" s="487">
        <v>0.1</v>
      </c>
      <c r="W25" s="350">
        <f t="shared" si="13"/>
        <v>10.877000000000001</v>
      </c>
      <c r="X25" s="618">
        <v>284.45</v>
      </c>
      <c r="Y25" s="441"/>
      <c r="Z25" s="617" t="s">
        <v>45</v>
      </c>
      <c r="AA25" s="473" t="s">
        <v>234</v>
      </c>
      <c r="AB25" s="515">
        <v>0</v>
      </c>
      <c r="AC25" s="350">
        <v>0</v>
      </c>
      <c r="AD25" s="485">
        <v>11.67</v>
      </c>
      <c r="AE25" s="350">
        <f t="shared" si="10"/>
        <v>0</v>
      </c>
      <c r="AF25" s="486">
        <v>161.15</v>
      </c>
      <c r="AG25" s="350">
        <f t="shared" si="14"/>
        <v>0</v>
      </c>
      <c r="AH25" s="487">
        <v>0.1</v>
      </c>
      <c r="AI25" s="350">
        <f t="shared" si="15"/>
        <v>0</v>
      </c>
      <c r="AJ25" s="350">
        <v>0</v>
      </c>
      <c r="AK25" s="441"/>
      <c r="AL25" s="617" t="s">
        <v>45</v>
      </c>
      <c r="AM25" s="473" t="s">
        <v>234</v>
      </c>
      <c r="AN25" s="559">
        <v>0</v>
      </c>
      <c r="AO25" s="350">
        <v>0</v>
      </c>
      <c r="AP25" s="561">
        <v>11.67</v>
      </c>
      <c r="AQ25" s="350">
        <f t="shared" si="11"/>
        <v>0</v>
      </c>
      <c r="AR25" s="479">
        <v>161.15</v>
      </c>
      <c r="AS25" s="350">
        <f t="shared" si="16"/>
        <v>0</v>
      </c>
      <c r="AT25" s="480">
        <v>0.1</v>
      </c>
      <c r="AU25" s="350">
        <f t="shared" si="17"/>
        <v>0</v>
      </c>
      <c r="AV25" s="350">
        <v>0</v>
      </c>
    </row>
    <row r="26" spans="2:48" ht="15">
      <c r="B26" s="145" t="s">
        <v>45</v>
      </c>
      <c r="C26" s="475" t="s">
        <v>254</v>
      </c>
      <c r="D26" s="506"/>
      <c r="E26" s="223"/>
      <c r="F26" s="351"/>
      <c r="G26" s="229"/>
      <c r="H26" s="351"/>
      <c r="I26" s="351"/>
      <c r="J26" s="229"/>
      <c r="K26" s="352"/>
      <c r="L26" s="350"/>
      <c r="N26" s="145" t="s">
        <v>45</v>
      </c>
      <c r="O26" s="475" t="s">
        <v>254</v>
      </c>
      <c r="P26" s="506">
        <v>0.95</v>
      </c>
      <c r="Q26" s="350">
        <v>58.06</v>
      </c>
      <c r="R26" s="476">
        <v>12.19</v>
      </c>
      <c r="S26" s="350">
        <f t="shared" si="9"/>
        <v>707.75139999999999</v>
      </c>
      <c r="T26" s="548">
        <v>160.80000000000001</v>
      </c>
      <c r="U26" s="350">
        <f t="shared" si="12"/>
        <v>9336.0480000000007</v>
      </c>
      <c r="V26" s="487">
        <v>15.36</v>
      </c>
      <c r="W26" s="350">
        <f t="shared" si="13"/>
        <v>891.80160000000001</v>
      </c>
      <c r="X26" s="618">
        <v>47.68</v>
      </c>
      <c r="Y26" s="441"/>
      <c r="Z26" s="617" t="s">
        <v>45</v>
      </c>
      <c r="AA26" s="473" t="s">
        <v>254</v>
      </c>
      <c r="AB26" s="516">
        <v>0.95</v>
      </c>
      <c r="AC26" s="350">
        <v>58.67</v>
      </c>
      <c r="AD26" s="485">
        <v>12.19</v>
      </c>
      <c r="AE26" s="350">
        <f t="shared" si="10"/>
        <v>715.18729999999994</v>
      </c>
      <c r="AF26" s="486">
        <v>160.80000000000001</v>
      </c>
      <c r="AG26" s="350">
        <f t="shared" si="14"/>
        <v>9434.1360000000004</v>
      </c>
      <c r="AH26" s="487">
        <v>15.36</v>
      </c>
      <c r="AI26" s="350">
        <f t="shared" si="15"/>
        <v>901.1712</v>
      </c>
      <c r="AJ26" s="618">
        <v>47.68</v>
      </c>
      <c r="AK26" s="441"/>
      <c r="AL26" s="617" t="s">
        <v>45</v>
      </c>
      <c r="AM26" s="473" t="s">
        <v>254</v>
      </c>
      <c r="AN26" s="560">
        <v>0</v>
      </c>
      <c r="AO26" s="350">
        <v>0</v>
      </c>
      <c r="AP26" s="561">
        <v>12.19</v>
      </c>
      <c r="AQ26" s="350">
        <f t="shared" si="11"/>
        <v>0</v>
      </c>
      <c r="AR26" s="479">
        <v>160.80000000000001</v>
      </c>
      <c r="AS26" s="350">
        <f t="shared" si="16"/>
        <v>0</v>
      </c>
      <c r="AT26" s="480">
        <v>15.36</v>
      </c>
      <c r="AU26" s="350">
        <f t="shared" si="17"/>
        <v>0</v>
      </c>
      <c r="AV26" s="350">
        <v>0</v>
      </c>
    </row>
    <row r="27" spans="2:48" ht="15">
      <c r="B27" s="145" t="s">
        <v>45</v>
      </c>
      <c r="C27" s="475" t="s">
        <v>235</v>
      </c>
      <c r="D27" s="505"/>
      <c r="E27" s="223"/>
      <c r="F27" s="350"/>
      <c r="G27" s="223"/>
      <c r="H27" s="350"/>
      <c r="I27" s="350"/>
      <c r="J27" s="223"/>
      <c r="K27" s="350"/>
      <c r="L27" s="350"/>
      <c r="N27" s="145" t="s">
        <v>45</v>
      </c>
      <c r="O27" s="475" t="s">
        <v>235</v>
      </c>
      <c r="P27" s="505">
        <v>0.95</v>
      </c>
      <c r="Q27" s="350">
        <v>58.06</v>
      </c>
      <c r="R27" s="476">
        <v>12.19</v>
      </c>
      <c r="S27" s="350">
        <f t="shared" si="9"/>
        <v>707.75139999999999</v>
      </c>
      <c r="T27" s="548">
        <v>160.80000000000001</v>
      </c>
      <c r="U27" s="350">
        <f t="shared" si="12"/>
        <v>9336.0480000000007</v>
      </c>
      <c r="V27" s="487">
        <v>-15.36</v>
      </c>
      <c r="W27" s="350">
        <f t="shared" si="13"/>
        <v>-891.80160000000001</v>
      </c>
      <c r="X27" s="618">
        <v>47.68</v>
      </c>
      <c r="Y27" s="441"/>
      <c r="Z27" s="617" t="s">
        <v>45</v>
      </c>
      <c r="AA27" s="473" t="s">
        <v>235</v>
      </c>
      <c r="AB27" s="515">
        <v>0.95</v>
      </c>
      <c r="AC27" s="350">
        <v>58.67</v>
      </c>
      <c r="AD27" s="485">
        <v>12.19</v>
      </c>
      <c r="AE27" s="350">
        <f t="shared" si="10"/>
        <v>715.18729999999994</v>
      </c>
      <c r="AF27" s="486">
        <v>160.80000000000001</v>
      </c>
      <c r="AG27" s="350">
        <f t="shared" si="14"/>
        <v>9434.1360000000004</v>
      </c>
      <c r="AH27" s="487">
        <v>-15.36</v>
      </c>
      <c r="AI27" s="350">
        <f t="shared" si="15"/>
        <v>-901.1712</v>
      </c>
      <c r="AJ27" s="618">
        <v>47.68</v>
      </c>
      <c r="AK27" s="441"/>
      <c r="AL27" s="617" t="s">
        <v>45</v>
      </c>
      <c r="AM27" s="473" t="s">
        <v>235</v>
      </c>
      <c r="AN27" s="559">
        <v>0</v>
      </c>
      <c r="AO27" s="350">
        <v>0</v>
      </c>
      <c r="AP27" s="561">
        <v>12.19</v>
      </c>
      <c r="AQ27" s="350">
        <f t="shared" si="11"/>
        <v>0</v>
      </c>
      <c r="AR27" s="479">
        <v>160.80000000000001</v>
      </c>
      <c r="AS27" s="350">
        <f t="shared" si="16"/>
        <v>0</v>
      </c>
      <c r="AT27" s="480">
        <v>-15.36</v>
      </c>
      <c r="AU27" s="350">
        <f t="shared" si="17"/>
        <v>0</v>
      </c>
      <c r="AV27" s="350">
        <v>0</v>
      </c>
    </row>
    <row r="28" spans="2:48" ht="15">
      <c r="B28" s="145" t="s">
        <v>45</v>
      </c>
      <c r="C28" s="475" t="s">
        <v>255</v>
      </c>
      <c r="D28" s="505"/>
      <c r="E28" s="223"/>
      <c r="F28" s="350"/>
      <c r="G28" s="223"/>
      <c r="H28" s="350"/>
      <c r="I28" s="350"/>
      <c r="J28" s="223"/>
      <c r="K28" s="350"/>
      <c r="L28" s="350"/>
      <c r="N28" s="145" t="s">
        <v>45</v>
      </c>
      <c r="O28" s="475" t="s">
        <v>255</v>
      </c>
      <c r="P28" s="505">
        <v>0.95</v>
      </c>
      <c r="Q28" s="350">
        <v>91.76</v>
      </c>
      <c r="R28" s="476">
        <v>13.04</v>
      </c>
      <c r="S28" s="350">
        <f t="shared" si="9"/>
        <v>1196.5504000000001</v>
      </c>
      <c r="T28" s="548">
        <v>178.46</v>
      </c>
      <c r="U28" s="350">
        <f t="shared" si="12"/>
        <v>16375.489600000001</v>
      </c>
      <c r="V28" s="487">
        <v>0</v>
      </c>
      <c r="W28" s="350">
        <f t="shared" si="13"/>
        <v>0</v>
      </c>
      <c r="X28" s="618">
        <v>286.58999999999997</v>
      </c>
      <c r="Y28" s="441"/>
      <c r="Z28" s="617" t="s">
        <v>45</v>
      </c>
      <c r="AA28" s="473" t="s">
        <v>255</v>
      </c>
      <c r="AB28" s="515">
        <v>0.95</v>
      </c>
      <c r="AC28" s="350">
        <v>92.71</v>
      </c>
      <c r="AD28" s="485">
        <v>13.04</v>
      </c>
      <c r="AE28" s="350">
        <f t="shared" si="10"/>
        <v>1208.9383999999998</v>
      </c>
      <c r="AF28" s="486">
        <v>178.46</v>
      </c>
      <c r="AG28" s="350">
        <f t="shared" si="14"/>
        <v>16545.026600000001</v>
      </c>
      <c r="AH28" s="487">
        <v>0</v>
      </c>
      <c r="AI28" s="350">
        <f t="shared" si="15"/>
        <v>0</v>
      </c>
      <c r="AJ28" s="618">
        <v>286.58999999999997</v>
      </c>
      <c r="AK28" s="441"/>
      <c r="AL28" s="617" t="s">
        <v>45</v>
      </c>
      <c r="AM28" s="473" t="s">
        <v>255</v>
      </c>
      <c r="AN28" s="559">
        <v>0.5</v>
      </c>
      <c r="AO28" s="350">
        <v>48.3</v>
      </c>
      <c r="AP28" s="561">
        <v>13.04</v>
      </c>
      <c r="AQ28" s="350">
        <f t="shared" si="11"/>
        <v>629.83199999999988</v>
      </c>
      <c r="AR28" s="479">
        <v>178.46</v>
      </c>
      <c r="AS28" s="350">
        <f t="shared" si="16"/>
        <v>8619.6180000000004</v>
      </c>
      <c r="AT28" s="480">
        <v>0</v>
      </c>
      <c r="AU28" s="350">
        <f t="shared" si="17"/>
        <v>0</v>
      </c>
      <c r="AV28" s="350">
        <v>286.58999999999997</v>
      </c>
    </row>
    <row r="29" spans="2:48" ht="15">
      <c r="B29" s="145" t="s">
        <v>45</v>
      </c>
      <c r="C29" s="475" t="s">
        <v>236</v>
      </c>
      <c r="D29" s="506"/>
      <c r="E29" s="223"/>
      <c r="F29" s="350"/>
      <c r="G29" s="223"/>
      <c r="H29" s="350"/>
      <c r="I29" s="350"/>
      <c r="J29" s="223"/>
      <c r="K29" s="350"/>
      <c r="L29" s="350"/>
      <c r="N29" s="145" t="s">
        <v>45</v>
      </c>
      <c r="O29" s="475" t="s">
        <v>236</v>
      </c>
      <c r="P29" s="506">
        <v>0.95</v>
      </c>
      <c r="Q29" s="350">
        <v>45.69</v>
      </c>
      <c r="R29" s="476">
        <v>13.58</v>
      </c>
      <c r="S29" s="350">
        <f t="shared" si="9"/>
        <v>620.47019999999998</v>
      </c>
      <c r="T29" s="548">
        <v>178.4</v>
      </c>
      <c r="U29" s="350">
        <f t="shared" si="12"/>
        <v>8151.0959999999995</v>
      </c>
      <c r="V29" s="487">
        <v>15.33</v>
      </c>
      <c r="W29" s="350">
        <f t="shared" si="13"/>
        <v>700.42769999999996</v>
      </c>
      <c r="X29" s="618">
        <v>47.68</v>
      </c>
      <c r="Y29" s="441"/>
      <c r="Z29" s="617" t="s">
        <v>45</v>
      </c>
      <c r="AA29" s="473" t="s">
        <v>236</v>
      </c>
      <c r="AB29" s="516">
        <v>0.95</v>
      </c>
      <c r="AC29" s="350">
        <v>46.17</v>
      </c>
      <c r="AD29" s="485">
        <v>13.58</v>
      </c>
      <c r="AE29" s="350">
        <f t="shared" si="10"/>
        <v>626.98860000000002</v>
      </c>
      <c r="AF29" s="486">
        <v>178.4</v>
      </c>
      <c r="AG29" s="350">
        <f t="shared" si="14"/>
        <v>8236.728000000001</v>
      </c>
      <c r="AH29" s="487">
        <v>15.33</v>
      </c>
      <c r="AI29" s="350">
        <f t="shared" si="15"/>
        <v>707.78610000000003</v>
      </c>
      <c r="AJ29" s="618">
        <v>47.68</v>
      </c>
      <c r="AK29" s="441"/>
      <c r="AL29" s="617" t="s">
        <v>45</v>
      </c>
      <c r="AM29" s="473" t="s">
        <v>236</v>
      </c>
      <c r="AN29" s="560">
        <v>0</v>
      </c>
      <c r="AO29" s="350">
        <v>0</v>
      </c>
      <c r="AP29" s="561">
        <v>13.58</v>
      </c>
      <c r="AQ29" s="350">
        <f t="shared" si="11"/>
        <v>0</v>
      </c>
      <c r="AR29" s="479">
        <v>178.4</v>
      </c>
      <c r="AS29" s="350">
        <f t="shared" si="16"/>
        <v>0</v>
      </c>
      <c r="AT29" s="480">
        <v>15.33</v>
      </c>
      <c r="AU29" s="350">
        <f t="shared" si="17"/>
        <v>0</v>
      </c>
      <c r="AV29" s="350">
        <v>0</v>
      </c>
    </row>
    <row r="30" spans="2:48" ht="15">
      <c r="B30" s="145" t="s">
        <v>45</v>
      </c>
      <c r="C30" s="475" t="s">
        <v>237</v>
      </c>
      <c r="D30" s="506"/>
      <c r="E30" s="223"/>
      <c r="F30" s="350"/>
      <c r="G30" s="223"/>
      <c r="H30" s="350"/>
      <c r="I30" s="350"/>
      <c r="J30" s="223"/>
      <c r="K30" s="350"/>
      <c r="L30" s="350"/>
      <c r="N30" s="145" t="s">
        <v>45</v>
      </c>
      <c r="O30" s="475" t="s">
        <v>237</v>
      </c>
      <c r="P30" s="506">
        <v>0.95</v>
      </c>
      <c r="Q30" s="350">
        <v>45.69</v>
      </c>
      <c r="R30" s="476">
        <v>13.58</v>
      </c>
      <c r="S30" s="350">
        <f t="shared" si="9"/>
        <v>620.47019999999998</v>
      </c>
      <c r="T30" s="548">
        <v>178.4</v>
      </c>
      <c r="U30" s="350">
        <f t="shared" si="12"/>
        <v>8151.0959999999995</v>
      </c>
      <c r="V30" s="487">
        <v>-15.33</v>
      </c>
      <c r="W30" s="350">
        <f t="shared" si="13"/>
        <v>-700.42769999999996</v>
      </c>
      <c r="X30" s="618">
        <v>47.68</v>
      </c>
      <c r="Y30" s="441"/>
      <c r="Z30" s="617" t="s">
        <v>45</v>
      </c>
      <c r="AA30" s="473" t="s">
        <v>237</v>
      </c>
      <c r="AB30" s="516">
        <v>0.95</v>
      </c>
      <c r="AC30" s="350">
        <v>46.17</v>
      </c>
      <c r="AD30" s="485">
        <v>13.58</v>
      </c>
      <c r="AE30" s="350">
        <f t="shared" si="10"/>
        <v>626.98860000000002</v>
      </c>
      <c r="AF30" s="486">
        <v>178.4</v>
      </c>
      <c r="AG30" s="350">
        <f t="shared" si="14"/>
        <v>8236.728000000001</v>
      </c>
      <c r="AH30" s="487">
        <v>-15.33</v>
      </c>
      <c r="AI30" s="350">
        <f t="shared" si="15"/>
        <v>-707.78610000000003</v>
      </c>
      <c r="AJ30" s="618">
        <v>47.68</v>
      </c>
      <c r="AK30" s="441"/>
      <c r="AL30" s="617" t="s">
        <v>45</v>
      </c>
      <c r="AM30" s="473" t="s">
        <v>237</v>
      </c>
      <c r="AN30" s="560">
        <v>0</v>
      </c>
      <c r="AO30" s="350">
        <v>0</v>
      </c>
      <c r="AP30" s="561">
        <v>13.58</v>
      </c>
      <c r="AQ30" s="350">
        <f t="shared" si="11"/>
        <v>0</v>
      </c>
      <c r="AR30" s="479">
        <v>178.4</v>
      </c>
      <c r="AS30" s="350">
        <f t="shared" si="16"/>
        <v>0</v>
      </c>
      <c r="AT30" s="480">
        <v>-15.33</v>
      </c>
      <c r="AU30" s="350">
        <f t="shared" si="17"/>
        <v>0</v>
      </c>
      <c r="AV30" s="350">
        <v>0</v>
      </c>
    </row>
    <row r="31" spans="2:48" ht="15">
      <c r="B31" s="145" t="s">
        <v>267</v>
      </c>
      <c r="C31" s="475" t="s">
        <v>227</v>
      </c>
      <c r="D31" s="506"/>
      <c r="E31" s="223"/>
      <c r="F31" s="350"/>
      <c r="G31" s="223"/>
      <c r="H31" s="350"/>
      <c r="I31" s="350"/>
      <c r="J31" s="223"/>
      <c r="K31" s="350"/>
      <c r="L31" s="350"/>
      <c r="N31" s="145" t="s">
        <v>267</v>
      </c>
      <c r="O31" s="475" t="s">
        <v>227</v>
      </c>
      <c r="P31" s="506">
        <v>0.75</v>
      </c>
      <c r="Q31" s="350">
        <v>7.77</v>
      </c>
      <c r="R31" s="476">
        <v>13.19</v>
      </c>
      <c r="S31" s="350">
        <f t="shared" si="9"/>
        <v>102.48629999999999</v>
      </c>
      <c r="T31" s="548">
        <v>76.11</v>
      </c>
      <c r="U31" s="350">
        <f t="shared" si="12"/>
        <v>591.37469999999996</v>
      </c>
      <c r="V31" s="487">
        <v>-18.3</v>
      </c>
      <c r="W31" s="350">
        <f t="shared" si="13"/>
        <v>-142.191</v>
      </c>
      <c r="X31" s="618">
        <v>2</v>
      </c>
      <c r="Y31" s="441"/>
      <c r="Z31" s="617" t="s">
        <v>267</v>
      </c>
      <c r="AA31" s="473" t="s">
        <v>227</v>
      </c>
      <c r="AB31" s="516">
        <v>0.75</v>
      </c>
      <c r="AC31" s="350">
        <v>7.77</v>
      </c>
      <c r="AD31" s="485">
        <v>13.19</v>
      </c>
      <c r="AE31" s="350">
        <f t="shared" si="10"/>
        <v>102.48629999999999</v>
      </c>
      <c r="AF31" s="486">
        <v>76.11</v>
      </c>
      <c r="AG31" s="350">
        <f t="shared" si="14"/>
        <v>591.37469999999996</v>
      </c>
      <c r="AH31" s="487">
        <v>-18.3</v>
      </c>
      <c r="AI31" s="350">
        <f t="shared" si="15"/>
        <v>-142.191</v>
      </c>
      <c r="AJ31" s="350">
        <v>2</v>
      </c>
      <c r="AK31" s="441"/>
      <c r="AL31" s="617" t="s">
        <v>267</v>
      </c>
      <c r="AM31" s="473" t="s">
        <v>227</v>
      </c>
      <c r="AN31" s="516">
        <v>0.75</v>
      </c>
      <c r="AO31" s="350">
        <v>7.77</v>
      </c>
      <c r="AP31" s="561">
        <v>13.19</v>
      </c>
      <c r="AQ31" s="350">
        <f t="shared" si="11"/>
        <v>102.48629999999999</v>
      </c>
      <c r="AR31" s="479">
        <v>76.11</v>
      </c>
      <c r="AS31" s="350">
        <f t="shared" si="16"/>
        <v>591.37469999999996</v>
      </c>
      <c r="AT31" s="480">
        <v>-18.3</v>
      </c>
      <c r="AU31" s="350">
        <f t="shared" si="17"/>
        <v>-142.191</v>
      </c>
      <c r="AV31" s="350">
        <v>2</v>
      </c>
    </row>
    <row r="32" spans="2:48" ht="15">
      <c r="B32" s="145" t="s">
        <v>267</v>
      </c>
      <c r="C32" s="475" t="s">
        <v>228</v>
      </c>
      <c r="D32" s="506"/>
      <c r="E32" s="223"/>
      <c r="F32" s="350"/>
      <c r="G32" s="223"/>
      <c r="H32" s="350"/>
      <c r="I32" s="350"/>
      <c r="J32" s="223"/>
      <c r="K32" s="350"/>
      <c r="L32" s="350"/>
      <c r="N32" s="145" t="s">
        <v>267</v>
      </c>
      <c r="O32" s="475" t="s">
        <v>228</v>
      </c>
      <c r="P32" s="506">
        <v>0.75</v>
      </c>
      <c r="Q32" s="350">
        <v>8.83</v>
      </c>
      <c r="R32" s="476">
        <v>12.72</v>
      </c>
      <c r="S32" s="350">
        <f t="shared" si="9"/>
        <v>112.31760000000001</v>
      </c>
      <c r="T32" s="548">
        <v>77.05</v>
      </c>
      <c r="U32" s="350">
        <f t="shared" si="12"/>
        <v>680.35149999999999</v>
      </c>
      <c r="V32" s="487">
        <v>17.21</v>
      </c>
      <c r="W32" s="350">
        <f t="shared" si="13"/>
        <v>151.96430000000001</v>
      </c>
      <c r="X32" s="465">
        <v>4.0999999999999996</v>
      </c>
      <c r="Y32" s="441"/>
      <c r="Z32" s="617" t="s">
        <v>267</v>
      </c>
      <c r="AA32" s="473" t="s">
        <v>228</v>
      </c>
      <c r="AB32" s="516">
        <v>0.75</v>
      </c>
      <c r="AC32" s="350">
        <v>8.83</v>
      </c>
      <c r="AD32" s="485">
        <v>12.72</v>
      </c>
      <c r="AE32" s="350">
        <f t="shared" si="10"/>
        <v>112.31760000000001</v>
      </c>
      <c r="AF32" s="486">
        <v>77.05</v>
      </c>
      <c r="AG32" s="350">
        <f t="shared" si="14"/>
        <v>680.35149999999999</v>
      </c>
      <c r="AH32" s="487">
        <v>17.21</v>
      </c>
      <c r="AI32" s="350">
        <f t="shared" si="15"/>
        <v>151.96430000000001</v>
      </c>
      <c r="AJ32" s="350">
        <v>4.2</v>
      </c>
      <c r="AK32" s="441"/>
      <c r="AL32" s="617" t="s">
        <v>267</v>
      </c>
      <c r="AM32" s="473" t="s">
        <v>228</v>
      </c>
      <c r="AN32" s="516">
        <v>0.75</v>
      </c>
      <c r="AO32" s="350">
        <v>8.83</v>
      </c>
      <c r="AP32" s="561">
        <v>12.72</v>
      </c>
      <c r="AQ32" s="350">
        <f t="shared" si="11"/>
        <v>112.31760000000001</v>
      </c>
      <c r="AR32" s="479">
        <v>77.05</v>
      </c>
      <c r="AS32" s="350">
        <f t="shared" si="16"/>
        <v>680.35149999999999</v>
      </c>
      <c r="AT32" s="480">
        <v>17.21</v>
      </c>
      <c r="AU32" s="350">
        <f t="shared" si="17"/>
        <v>151.96430000000001</v>
      </c>
      <c r="AV32" s="350">
        <v>4.2</v>
      </c>
    </row>
    <row r="33" spans="2:48" ht="15">
      <c r="B33" s="145" t="s">
        <v>252</v>
      </c>
      <c r="C33" s="475" t="s">
        <v>231</v>
      </c>
      <c r="D33" s="505"/>
      <c r="E33" s="223"/>
      <c r="F33" s="350"/>
      <c r="G33" s="223"/>
      <c r="H33" s="350"/>
      <c r="I33" s="350"/>
      <c r="J33" s="223"/>
      <c r="K33" s="350"/>
      <c r="L33" s="350"/>
      <c r="N33" s="145" t="s">
        <v>252</v>
      </c>
      <c r="O33" s="475" t="s">
        <v>231</v>
      </c>
      <c r="P33" s="505">
        <v>0.1</v>
      </c>
      <c r="Q33" s="350">
        <v>0.52</v>
      </c>
      <c r="R33" s="476">
        <v>11.92</v>
      </c>
      <c r="S33" s="350">
        <f t="shared" si="9"/>
        <v>6.1984000000000004</v>
      </c>
      <c r="T33" s="548">
        <v>72.010000000000005</v>
      </c>
      <c r="U33" s="350">
        <f t="shared" si="12"/>
        <v>37.445200000000007</v>
      </c>
      <c r="V33" s="487">
        <v>11.98</v>
      </c>
      <c r="W33" s="350">
        <f t="shared" si="13"/>
        <v>6.2296000000000005</v>
      </c>
      <c r="X33" s="465">
        <v>0.5</v>
      </c>
      <c r="Y33" s="441"/>
      <c r="Z33" s="617" t="s">
        <v>252</v>
      </c>
      <c r="AA33" s="473" t="s">
        <v>231</v>
      </c>
      <c r="AB33" s="515">
        <v>0</v>
      </c>
      <c r="AC33" s="350">
        <v>0</v>
      </c>
      <c r="AD33" s="485">
        <v>11.92</v>
      </c>
      <c r="AE33" s="350">
        <f t="shared" si="10"/>
        <v>0</v>
      </c>
      <c r="AF33" s="486">
        <v>72.010000000000005</v>
      </c>
      <c r="AG33" s="350">
        <f t="shared" si="14"/>
        <v>0</v>
      </c>
      <c r="AH33" s="487">
        <v>11.98</v>
      </c>
      <c r="AI33" s="350">
        <f t="shared" si="15"/>
        <v>0</v>
      </c>
      <c r="AJ33" s="350">
        <v>0</v>
      </c>
      <c r="AK33" s="441"/>
      <c r="AL33" s="617" t="s">
        <v>252</v>
      </c>
      <c r="AM33" s="473" t="s">
        <v>231</v>
      </c>
      <c r="AN33" s="559">
        <v>0</v>
      </c>
      <c r="AO33" s="350">
        <v>0</v>
      </c>
      <c r="AP33" s="561">
        <v>11.92</v>
      </c>
      <c r="AQ33" s="350">
        <f t="shared" si="11"/>
        <v>0</v>
      </c>
      <c r="AR33" s="479">
        <v>72.010000000000005</v>
      </c>
      <c r="AS33" s="350">
        <f t="shared" si="16"/>
        <v>0</v>
      </c>
      <c r="AT33" s="480">
        <v>11.98</v>
      </c>
      <c r="AU33" s="350">
        <f t="shared" si="17"/>
        <v>0</v>
      </c>
      <c r="AV33" s="350">
        <v>0</v>
      </c>
    </row>
    <row r="34" spans="2:48" ht="15">
      <c r="B34" s="145" t="s">
        <v>252</v>
      </c>
      <c r="C34" s="475" t="s">
        <v>253</v>
      </c>
      <c r="D34" s="505"/>
      <c r="E34" s="223"/>
      <c r="F34" s="350"/>
      <c r="G34" s="223"/>
      <c r="H34" s="350"/>
      <c r="I34" s="350"/>
      <c r="J34" s="223"/>
      <c r="K34" s="350"/>
      <c r="L34" s="350"/>
      <c r="N34" s="145" t="s">
        <v>252</v>
      </c>
      <c r="O34" s="475" t="s">
        <v>253</v>
      </c>
      <c r="P34" s="505">
        <v>0</v>
      </c>
      <c r="Q34" s="350">
        <v>0</v>
      </c>
      <c r="R34" s="476">
        <v>11.2</v>
      </c>
      <c r="S34" s="350">
        <f t="shared" si="9"/>
        <v>0</v>
      </c>
      <c r="T34" s="548">
        <v>153.99</v>
      </c>
      <c r="U34" s="350">
        <f t="shared" si="12"/>
        <v>0</v>
      </c>
      <c r="V34" s="487">
        <v>-2</v>
      </c>
      <c r="W34" s="350">
        <f t="shared" si="13"/>
        <v>0</v>
      </c>
      <c r="X34" s="465">
        <v>0.5</v>
      </c>
      <c r="Y34" s="335"/>
      <c r="Z34" s="145" t="s">
        <v>252</v>
      </c>
      <c r="AA34" s="473" t="s">
        <v>253</v>
      </c>
      <c r="AB34" s="515">
        <v>0</v>
      </c>
      <c r="AC34" s="350">
        <v>0</v>
      </c>
      <c r="AD34" s="485">
        <v>11.2</v>
      </c>
      <c r="AE34" s="350">
        <f t="shared" si="10"/>
        <v>0</v>
      </c>
      <c r="AF34" s="486">
        <v>153.99</v>
      </c>
      <c r="AG34" s="350">
        <f t="shared" si="14"/>
        <v>0</v>
      </c>
      <c r="AH34" s="487">
        <v>-2</v>
      </c>
      <c r="AI34" s="350">
        <f t="shared" si="15"/>
        <v>0</v>
      </c>
      <c r="AJ34" s="350">
        <v>0</v>
      </c>
      <c r="AK34" s="335"/>
      <c r="AL34" s="145" t="s">
        <v>252</v>
      </c>
      <c r="AM34" s="473" t="s">
        <v>253</v>
      </c>
      <c r="AN34" s="559">
        <v>0</v>
      </c>
      <c r="AO34" s="350">
        <v>0</v>
      </c>
      <c r="AP34" s="561">
        <v>11.2</v>
      </c>
      <c r="AQ34" s="350">
        <f t="shared" si="11"/>
        <v>0</v>
      </c>
      <c r="AR34" s="479">
        <v>153.99</v>
      </c>
      <c r="AS34" s="350">
        <f t="shared" si="16"/>
        <v>0</v>
      </c>
      <c r="AT34" s="480">
        <v>-2</v>
      </c>
      <c r="AU34" s="350">
        <f t="shared" si="17"/>
        <v>0</v>
      </c>
      <c r="AV34" s="350">
        <v>0</v>
      </c>
    </row>
    <row r="35" spans="2:48" ht="15">
      <c r="B35" s="145" t="s">
        <v>243</v>
      </c>
      <c r="C35" s="475" t="s">
        <v>518</v>
      </c>
      <c r="D35" s="505"/>
      <c r="E35" s="223"/>
      <c r="F35" s="350"/>
      <c r="G35" s="223"/>
      <c r="H35" s="350"/>
      <c r="I35" s="350"/>
      <c r="J35" s="223"/>
      <c r="K35" s="350"/>
      <c r="L35" s="350"/>
      <c r="N35" s="145" t="s">
        <v>243</v>
      </c>
      <c r="O35" s="475" t="s">
        <v>518</v>
      </c>
      <c r="P35" s="505">
        <v>0.75</v>
      </c>
      <c r="Q35" s="350">
        <v>0.34</v>
      </c>
      <c r="R35" s="476">
        <v>40.299999999999997</v>
      </c>
      <c r="S35" s="350">
        <f t="shared" si="9"/>
        <v>13.702</v>
      </c>
      <c r="T35" s="548">
        <v>137.55000000000001</v>
      </c>
      <c r="U35" s="350">
        <f t="shared" si="12"/>
        <v>46.76700000000001</v>
      </c>
      <c r="V35" s="487">
        <v>-11.12</v>
      </c>
      <c r="W35" s="350">
        <f t="shared" si="13"/>
        <v>-3.7808000000000002</v>
      </c>
      <c r="X35" s="465">
        <v>0</v>
      </c>
      <c r="Y35" s="335"/>
      <c r="Z35" s="145" t="s">
        <v>243</v>
      </c>
      <c r="AA35" s="475" t="s">
        <v>518</v>
      </c>
      <c r="AB35" s="505">
        <v>0.75</v>
      </c>
      <c r="AC35" s="350">
        <v>0.34</v>
      </c>
      <c r="AD35" s="485">
        <v>40.299999999999997</v>
      </c>
      <c r="AE35" s="350">
        <f t="shared" si="10"/>
        <v>13.702</v>
      </c>
      <c r="AF35" s="486">
        <v>137.55000000000001</v>
      </c>
      <c r="AG35" s="350">
        <f t="shared" si="14"/>
        <v>46.76700000000001</v>
      </c>
      <c r="AH35" s="487">
        <v>-11.12</v>
      </c>
      <c r="AI35" s="350">
        <f t="shared" si="15"/>
        <v>-3.7808000000000002</v>
      </c>
      <c r="AJ35" s="350">
        <v>0</v>
      </c>
      <c r="AK35" s="335"/>
      <c r="AL35" s="145" t="s">
        <v>243</v>
      </c>
      <c r="AM35" s="475" t="s">
        <v>518</v>
      </c>
      <c r="AN35" s="505">
        <v>0.75</v>
      </c>
      <c r="AO35" s="350">
        <v>0.34</v>
      </c>
      <c r="AP35" s="561">
        <v>40.299999999999997</v>
      </c>
      <c r="AQ35" s="350">
        <f t="shared" si="11"/>
        <v>13.702</v>
      </c>
      <c r="AR35" s="479">
        <v>137.55000000000001</v>
      </c>
      <c r="AS35" s="350">
        <f t="shared" si="16"/>
        <v>46.76700000000001</v>
      </c>
      <c r="AT35" s="480">
        <v>-11.12</v>
      </c>
      <c r="AU35" s="350">
        <f t="shared" si="17"/>
        <v>-3.7808000000000002</v>
      </c>
      <c r="AV35" s="350">
        <v>0</v>
      </c>
    </row>
    <row r="36" spans="2:48" ht="15">
      <c r="B36" s="169" t="s">
        <v>268</v>
      </c>
      <c r="C36" s="475" t="s">
        <v>519</v>
      </c>
      <c r="D36" s="513"/>
      <c r="E36" s="223"/>
      <c r="F36" s="353"/>
      <c r="G36" s="223"/>
      <c r="H36" s="353"/>
      <c r="I36" s="353"/>
      <c r="J36" s="223"/>
      <c r="K36" s="353"/>
      <c r="L36" s="353"/>
      <c r="N36" s="145" t="s">
        <v>268</v>
      </c>
      <c r="O36" s="475" t="s">
        <v>519</v>
      </c>
      <c r="P36" s="505">
        <v>0.75</v>
      </c>
      <c r="Q36" s="350">
        <v>1.58</v>
      </c>
      <c r="R36" s="481">
        <v>41.56</v>
      </c>
      <c r="S36" s="353">
        <f t="shared" si="9"/>
        <v>65.6648</v>
      </c>
      <c r="T36" s="550">
        <v>155.56</v>
      </c>
      <c r="U36" s="353">
        <f t="shared" si="12"/>
        <v>245.78480000000002</v>
      </c>
      <c r="V36" s="553">
        <v>-21.91</v>
      </c>
      <c r="W36" s="353">
        <f t="shared" si="13"/>
        <v>-34.617800000000003</v>
      </c>
      <c r="X36" s="466">
        <v>0.1</v>
      </c>
      <c r="Y36" s="335"/>
      <c r="Z36" s="169" t="s">
        <v>268</v>
      </c>
      <c r="AA36" s="475" t="s">
        <v>519</v>
      </c>
      <c r="AB36" s="516">
        <v>0.75</v>
      </c>
      <c r="AC36" s="353">
        <v>1.58</v>
      </c>
      <c r="AD36" s="485">
        <v>41.56</v>
      </c>
      <c r="AE36" s="353">
        <f t="shared" si="10"/>
        <v>65.6648</v>
      </c>
      <c r="AF36" s="486">
        <v>155.56</v>
      </c>
      <c r="AG36" s="353">
        <f>AC36*AF36</f>
        <v>245.78480000000002</v>
      </c>
      <c r="AH36" s="553">
        <v>-21.91</v>
      </c>
      <c r="AI36" s="353">
        <f>AC36*AH36</f>
        <v>-34.617800000000003</v>
      </c>
      <c r="AJ36" s="353">
        <v>0.1</v>
      </c>
      <c r="AK36" s="335"/>
      <c r="AL36" s="169" t="s">
        <v>268</v>
      </c>
      <c r="AM36" s="475" t="s">
        <v>519</v>
      </c>
      <c r="AN36" s="510">
        <v>0.75</v>
      </c>
      <c r="AO36" s="353">
        <v>1.58</v>
      </c>
      <c r="AP36" s="562">
        <v>41.56</v>
      </c>
      <c r="AQ36" s="353">
        <f t="shared" si="11"/>
        <v>65.6648</v>
      </c>
      <c r="AR36" s="482">
        <v>155.56</v>
      </c>
      <c r="AS36" s="353">
        <f t="shared" si="16"/>
        <v>245.78480000000002</v>
      </c>
      <c r="AT36" s="483">
        <v>-21.91</v>
      </c>
      <c r="AU36" s="353">
        <f t="shared" si="17"/>
        <v>-34.617800000000003</v>
      </c>
      <c r="AV36" s="353">
        <v>0.1</v>
      </c>
    </row>
    <row r="37" spans="2:48" ht="15">
      <c r="B37" s="339" t="s">
        <v>49</v>
      </c>
      <c r="C37" s="347"/>
      <c r="D37" s="507"/>
      <c r="E37" s="340"/>
      <c r="F37" s="340"/>
      <c r="G37" s="340"/>
      <c r="H37" s="340"/>
      <c r="I37" s="340"/>
      <c r="J37" s="340"/>
      <c r="K37" s="340"/>
      <c r="L37" s="344"/>
      <c r="N37" s="339" t="s">
        <v>49</v>
      </c>
      <c r="O37" s="347"/>
      <c r="P37" s="507"/>
      <c r="Q37" s="340"/>
      <c r="R37" s="340"/>
      <c r="S37" s="340"/>
      <c r="T37" s="340"/>
      <c r="U37" s="469"/>
      <c r="V37" s="340"/>
      <c r="W37" s="469"/>
      <c r="X37" s="344"/>
      <c r="Y37" s="335"/>
      <c r="Z37" s="339" t="s">
        <v>49</v>
      </c>
      <c r="AA37" s="347"/>
      <c r="AB37" s="507"/>
      <c r="AC37" s="340"/>
      <c r="AD37" s="340"/>
      <c r="AE37" s="340"/>
      <c r="AF37" s="340"/>
      <c r="AG37" s="469"/>
      <c r="AH37" s="340"/>
      <c r="AI37" s="469"/>
      <c r="AJ37" s="344"/>
      <c r="AK37" s="335"/>
      <c r="AL37" s="339" t="s">
        <v>49</v>
      </c>
      <c r="AM37" s="347"/>
      <c r="AN37" s="507"/>
      <c r="AO37" s="563"/>
      <c r="AP37" s="340"/>
      <c r="AQ37" s="340"/>
      <c r="AR37" s="340"/>
      <c r="AS37" s="469"/>
      <c r="AT37" s="340"/>
      <c r="AU37" s="469"/>
      <c r="AV37" s="344"/>
    </row>
    <row r="38" spans="2:48" ht="15">
      <c r="B38" s="343" t="s">
        <v>194</v>
      </c>
      <c r="C38" s="475" t="s">
        <v>212</v>
      </c>
      <c r="D38" s="509"/>
      <c r="E38" s="223"/>
      <c r="F38" s="345"/>
      <c r="G38" s="223"/>
      <c r="H38" s="345"/>
      <c r="I38" s="223"/>
      <c r="J38" s="345"/>
      <c r="K38" s="223"/>
      <c r="L38" s="345"/>
      <c r="M38" s="517"/>
      <c r="N38" s="145" t="s">
        <v>194</v>
      </c>
      <c r="O38" s="475" t="s">
        <v>212</v>
      </c>
      <c r="P38" s="509">
        <v>0.97899999999999998</v>
      </c>
      <c r="Q38" s="345">
        <v>23.39</v>
      </c>
      <c r="R38" s="488">
        <v>15.09</v>
      </c>
      <c r="S38" s="345">
        <f>Q38*R38</f>
        <v>352.95510000000002</v>
      </c>
      <c r="T38" s="549">
        <v>49.94</v>
      </c>
      <c r="U38" s="345">
        <f>Q38*T38</f>
        <v>1168.0966000000001</v>
      </c>
      <c r="V38" s="552">
        <v>-13.69</v>
      </c>
      <c r="W38" s="345">
        <f>Q38*V38</f>
        <v>-320.20909999999998</v>
      </c>
      <c r="X38" s="467">
        <v>28.5</v>
      </c>
      <c r="Y38" s="518"/>
      <c r="Z38" s="343" t="s">
        <v>194</v>
      </c>
      <c r="AA38" s="475" t="s">
        <v>212</v>
      </c>
      <c r="AB38" s="509">
        <v>0.8</v>
      </c>
      <c r="AC38" s="223">
        <v>19.100000000000001</v>
      </c>
      <c r="AD38" s="488">
        <v>15.09</v>
      </c>
      <c r="AE38" s="223">
        <f>AC38*AD38</f>
        <v>288.21899999999999</v>
      </c>
      <c r="AF38" s="477">
        <v>49.94</v>
      </c>
      <c r="AG38" s="345">
        <f>AC38*AF38</f>
        <v>953.85400000000004</v>
      </c>
      <c r="AH38" s="552">
        <v>-13.69</v>
      </c>
      <c r="AI38" s="345">
        <f>AC38*AH38</f>
        <v>-261.47899999999998</v>
      </c>
      <c r="AJ38" s="345">
        <v>28.5</v>
      </c>
      <c r="AK38" s="518"/>
      <c r="AL38" s="343" t="s">
        <v>194</v>
      </c>
      <c r="AM38" s="475" t="s">
        <v>212</v>
      </c>
      <c r="AN38" s="509">
        <v>0.1</v>
      </c>
      <c r="AO38" s="345">
        <v>2.39</v>
      </c>
      <c r="AP38" s="488">
        <v>15.09</v>
      </c>
      <c r="AQ38" s="463">
        <f>AO38*AP38</f>
        <v>36.065100000000001</v>
      </c>
      <c r="AR38" s="477">
        <v>49.94</v>
      </c>
      <c r="AS38" s="345">
        <f>AO38*AR38</f>
        <v>119.3566</v>
      </c>
      <c r="AT38" s="478">
        <v>-13.69</v>
      </c>
      <c r="AU38" s="345">
        <f>AO38*AT38</f>
        <v>-32.719099999999997</v>
      </c>
      <c r="AV38" s="345">
        <v>28.5</v>
      </c>
    </row>
    <row r="39" spans="2:48" ht="15">
      <c r="B39" s="169" t="s">
        <v>194</v>
      </c>
      <c r="C39" s="475" t="s">
        <v>213</v>
      </c>
      <c r="D39" s="519"/>
      <c r="E39" s="518"/>
      <c r="F39" s="520"/>
      <c r="G39" s="518"/>
      <c r="H39" s="520"/>
      <c r="I39" s="518"/>
      <c r="J39" s="520"/>
      <c r="K39" s="518"/>
      <c r="L39" s="520"/>
      <c r="M39" s="521"/>
      <c r="N39" s="169" t="s">
        <v>194</v>
      </c>
      <c r="O39" s="475" t="s">
        <v>213</v>
      </c>
      <c r="P39" s="522">
        <v>0.97899999999999998</v>
      </c>
      <c r="Q39" s="523">
        <v>23.39</v>
      </c>
      <c r="R39" s="481">
        <v>15.09</v>
      </c>
      <c r="S39" s="353">
        <f>Q39*R39</f>
        <v>352.95510000000002</v>
      </c>
      <c r="T39" s="550">
        <v>49.94</v>
      </c>
      <c r="U39" s="353">
        <f>Q39*T39</f>
        <v>1168.0966000000001</v>
      </c>
      <c r="V39" s="553">
        <v>13.69</v>
      </c>
      <c r="W39" s="353">
        <f>Q39*V39</f>
        <v>320.20909999999998</v>
      </c>
      <c r="X39" s="612">
        <v>28.5</v>
      </c>
      <c r="Y39" s="524"/>
      <c r="Z39" s="169" t="s">
        <v>194</v>
      </c>
      <c r="AA39" s="475" t="s">
        <v>213</v>
      </c>
      <c r="AB39" s="522">
        <v>0.2</v>
      </c>
      <c r="AC39" s="525">
        <v>4.7699999999999996</v>
      </c>
      <c r="AD39" s="481">
        <v>15.09</v>
      </c>
      <c r="AE39" s="223">
        <f>AC39*AD39</f>
        <v>71.979299999999995</v>
      </c>
      <c r="AF39" s="482">
        <v>49.94</v>
      </c>
      <c r="AG39" s="353">
        <f>AC39*AF39</f>
        <v>238.21379999999996</v>
      </c>
      <c r="AH39" s="553">
        <v>13.69</v>
      </c>
      <c r="AI39" s="353">
        <f>AC39*AH39</f>
        <v>65.301299999999998</v>
      </c>
      <c r="AJ39" s="581">
        <v>28.5</v>
      </c>
      <c r="AK39" s="524"/>
      <c r="AL39" s="169" t="s">
        <v>194</v>
      </c>
      <c r="AM39" s="475" t="s">
        <v>213</v>
      </c>
      <c r="AN39" s="522">
        <v>0.1</v>
      </c>
      <c r="AO39" s="523">
        <v>2.39</v>
      </c>
      <c r="AP39" s="481">
        <v>15.09</v>
      </c>
      <c r="AQ39" s="464">
        <f>AO39*AP39</f>
        <v>36.065100000000001</v>
      </c>
      <c r="AR39" s="482">
        <v>49.94</v>
      </c>
      <c r="AS39" s="353">
        <f>AO39*AR39</f>
        <v>119.3566</v>
      </c>
      <c r="AT39" s="483">
        <v>13.69</v>
      </c>
      <c r="AU39" s="353">
        <f>AO39*AT39</f>
        <v>32.719099999999997</v>
      </c>
      <c r="AV39" s="613">
        <v>28.5</v>
      </c>
    </row>
    <row r="40" spans="2:48" ht="15">
      <c r="B40" s="339" t="s">
        <v>22</v>
      </c>
      <c r="C40" s="526"/>
      <c r="D40" s="527"/>
      <c r="E40" s="526"/>
      <c r="F40" s="526"/>
      <c r="G40" s="526"/>
      <c r="H40" s="526"/>
      <c r="I40" s="526"/>
      <c r="J40" s="526"/>
      <c r="K40" s="526"/>
      <c r="L40" s="528"/>
      <c r="M40" s="517"/>
      <c r="N40" s="339" t="s">
        <v>22</v>
      </c>
      <c r="O40" s="526"/>
      <c r="P40" s="527"/>
      <c r="Q40" s="526"/>
      <c r="R40" s="526"/>
      <c r="S40" s="526"/>
      <c r="T40" s="526"/>
      <c r="U40" s="518"/>
      <c r="V40" s="526"/>
      <c r="W40" s="518"/>
      <c r="X40" s="528"/>
      <c r="Y40" s="518"/>
      <c r="Z40" s="339" t="s">
        <v>22</v>
      </c>
      <c r="AA40" s="526"/>
      <c r="AB40" s="527"/>
      <c r="AC40" s="526"/>
      <c r="AD40" s="526"/>
      <c r="AE40" s="526"/>
      <c r="AF40" s="526"/>
      <c r="AG40" s="518"/>
      <c r="AH40" s="526"/>
      <c r="AI40" s="518"/>
      <c r="AJ40" s="528"/>
      <c r="AK40" s="518"/>
      <c r="AL40" s="339" t="s">
        <v>22</v>
      </c>
      <c r="AM40" s="526"/>
      <c r="AN40" s="527"/>
      <c r="AO40" s="526"/>
      <c r="AP40" s="526"/>
      <c r="AQ40" s="526"/>
      <c r="AR40" s="526"/>
      <c r="AS40" s="518"/>
      <c r="AT40" s="526"/>
      <c r="AU40" s="518"/>
      <c r="AV40" s="528"/>
    </row>
    <row r="41" spans="2:48" ht="15">
      <c r="B41" s="343" t="s">
        <v>73</v>
      </c>
      <c r="C41" s="475" t="s">
        <v>245</v>
      </c>
      <c r="D41" s="529"/>
      <c r="E41" s="518"/>
      <c r="F41" s="530"/>
      <c r="G41" s="518"/>
      <c r="H41" s="530"/>
      <c r="I41" s="518"/>
      <c r="J41" s="530"/>
      <c r="K41" s="518"/>
      <c r="L41" s="530"/>
      <c r="M41" s="517"/>
      <c r="N41" s="145" t="s">
        <v>73</v>
      </c>
      <c r="O41" s="475" t="s">
        <v>245</v>
      </c>
      <c r="P41" s="584">
        <v>0.96</v>
      </c>
      <c r="Q41" s="531">
        <v>7.83</v>
      </c>
      <c r="R41" s="488">
        <v>11.96</v>
      </c>
      <c r="S41" s="223">
        <f>Q41*R41</f>
        <v>93.646800000000013</v>
      </c>
      <c r="T41" s="549">
        <v>76.05</v>
      </c>
      <c r="U41" s="345">
        <f>Q41*T41</f>
        <v>595.47149999999999</v>
      </c>
      <c r="V41" s="552">
        <v>-14.49</v>
      </c>
      <c r="W41" s="345">
        <f>Q41*V41</f>
        <v>-113.4567</v>
      </c>
      <c r="X41" s="555">
        <v>0.5</v>
      </c>
      <c r="Y41" s="518"/>
      <c r="Z41" s="343" t="s">
        <v>73</v>
      </c>
      <c r="AA41" s="475" t="s">
        <v>245</v>
      </c>
      <c r="AB41" s="532">
        <v>0.28999999999999998</v>
      </c>
      <c r="AC41" s="531">
        <v>2.36</v>
      </c>
      <c r="AD41" s="485">
        <v>11.96</v>
      </c>
      <c r="AE41" s="345">
        <f>AC41*AD41</f>
        <v>28.2256</v>
      </c>
      <c r="AF41" s="486">
        <v>76.05</v>
      </c>
      <c r="AG41" s="345">
        <f>AC41*AF41</f>
        <v>179.47799999999998</v>
      </c>
      <c r="AH41" s="552">
        <v>-14.49</v>
      </c>
      <c r="AI41" s="345">
        <f>AC41*AH41</f>
        <v>-34.196399999999997</v>
      </c>
      <c r="AJ41" s="531">
        <v>0.5</v>
      </c>
      <c r="AK41" s="518"/>
      <c r="AL41" s="343" t="s">
        <v>73</v>
      </c>
      <c r="AM41" s="475" t="s">
        <v>245</v>
      </c>
      <c r="AN41" s="533">
        <v>0.1</v>
      </c>
      <c r="AO41" s="531">
        <v>0.82</v>
      </c>
      <c r="AP41" s="488">
        <v>11.96</v>
      </c>
      <c r="AQ41" s="345">
        <f>AO41*AP41</f>
        <v>9.8071999999999999</v>
      </c>
      <c r="AR41" s="477">
        <v>76.05</v>
      </c>
      <c r="AS41" s="345">
        <f>AO41*AR41</f>
        <v>62.360999999999997</v>
      </c>
      <c r="AT41" s="478">
        <v>-14.49</v>
      </c>
      <c r="AU41" s="345">
        <f>AO41*AT41</f>
        <v>-11.8818</v>
      </c>
      <c r="AV41" s="531">
        <v>0.5</v>
      </c>
    </row>
    <row r="42" spans="2:48" ht="15">
      <c r="B42" s="169" t="s">
        <v>269</v>
      </c>
      <c r="C42" s="475" t="s">
        <v>246</v>
      </c>
      <c r="D42" s="519"/>
      <c r="E42" s="518"/>
      <c r="F42" s="520"/>
      <c r="G42" s="518"/>
      <c r="H42" s="520"/>
      <c r="I42" s="518"/>
      <c r="J42" s="520"/>
      <c r="K42" s="518"/>
      <c r="L42" s="520"/>
      <c r="M42" s="517"/>
      <c r="N42" s="145" t="s">
        <v>269</v>
      </c>
      <c r="O42" s="475" t="s">
        <v>246</v>
      </c>
      <c r="P42" s="584">
        <v>0.96</v>
      </c>
      <c r="Q42" s="523">
        <v>3.48</v>
      </c>
      <c r="R42" s="481">
        <v>23.13</v>
      </c>
      <c r="S42" s="223">
        <f>Q42*R42</f>
        <v>80.492399999999989</v>
      </c>
      <c r="T42" s="550">
        <v>207.35</v>
      </c>
      <c r="U42" s="353">
        <f>Q42*T42</f>
        <v>721.57799999999997</v>
      </c>
      <c r="V42" s="553">
        <v>-19</v>
      </c>
      <c r="W42" s="353">
        <f>Q42*V42</f>
        <v>-66.12</v>
      </c>
      <c r="X42" s="554">
        <v>1.1000000000000001</v>
      </c>
      <c r="Y42" s="518"/>
      <c r="Z42" s="169" t="s">
        <v>269</v>
      </c>
      <c r="AA42" s="475" t="s">
        <v>246</v>
      </c>
      <c r="AB42" s="532">
        <v>0.96</v>
      </c>
      <c r="AC42" s="523">
        <v>3.48</v>
      </c>
      <c r="AD42" s="485">
        <v>23.13</v>
      </c>
      <c r="AE42" s="353">
        <f>AC42*AD42</f>
        <v>80.492399999999989</v>
      </c>
      <c r="AF42" s="486">
        <v>207.35</v>
      </c>
      <c r="AG42" s="353">
        <f>AC42*AF42</f>
        <v>721.57799999999997</v>
      </c>
      <c r="AH42" s="553">
        <v>-19</v>
      </c>
      <c r="AI42" s="353">
        <f>AC42*AH42</f>
        <v>-66.12</v>
      </c>
      <c r="AJ42" s="523">
        <v>1.1000000000000001</v>
      </c>
      <c r="AK42" s="518"/>
      <c r="AL42" s="169" t="s">
        <v>269</v>
      </c>
      <c r="AM42" s="475" t="s">
        <v>246</v>
      </c>
      <c r="AN42" s="522">
        <v>0.1</v>
      </c>
      <c r="AO42" s="523">
        <v>0.36</v>
      </c>
      <c r="AP42" s="481">
        <v>23.13</v>
      </c>
      <c r="AQ42" s="353">
        <f>AO42*AP42</f>
        <v>8.3267999999999986</v>
      </c>
      <c r="AR42" s="482">
        <v>207.35</v>
      </c>
      <c r="AS42" s="353">
        <f>AO42*AR42</f>
        <v>74.646000000000001</v>
      </c>
      <c r="AT42" s="483">
        <v>-19</v>
      </c>
      <c r="AU42" s="353">
        <f>AO42*AT42</f>
        <v>-6.84</v>
      </c>
      <c r="AV42" s="523">
        <v>1.1000000000000001</v>
      </c>
    </row>
    <row r="43" spans="2:48" ht="15">
      <c r="B43" s="339" t="s">
        <v>48</v>
      </c>
      <c r="C43" s="356"/>
      <c r="D43" s="534"/>
      <c r="E43" s="535"/>
      <c r="F43" s="535"/>
      <c r="G43" s="535"/>
      <c r="H43" s="535"/>
      <c r="I43" s="535"/>
      <c r="J43" s="535"/>
      <c r="K43" s="535"/>
      <c r="L43" s="536"/>
      <c r="M43" s="517"/>
      <c r="N43" s="339" t="s">
        <v>48</v>
      </c>
      <c r="O43" s="356"/>
      <c r="P43" s="534"/>
      <c r="Q43" s="535"/>
      <c r="R43" s="489"/>
      <c r="S43" s="535"/>
      <c r="T43" s="489"/>
      <c r="U43" s="551"/>
      <c r="V43" s="489"/>
      <c r="W43" s="551"/>
      <c r="X43" s="536"/>
      <c r="Y43" s="518"/>
      <c r="Z43" s="339" t="s">
        <v>48</v>
      </c>
      <c r="AA43" s="356"/>
      <c r="AB43" s="534"/>
      <c r="AC43" s="535"/>
      <c r="AD43" s="489"/>
      <c r="AE43" s="535"/>
      <c r="AF43" s="489"/>
      <c r="AG43" s="551"/>
      <c r="AH43" s="489"/>
      <c r="AI43" s="551"/>
      <c r="AJ43" s="536"/>
      <c r="AK43" s="518"/>
      <c r="AL43" s="339" t="s">
        <v>48</v>
      </c>
      <c r="AM43" s="356"/>
      <c r="AN43" s="534"/>
      <c r="AO43" s="535"/>
      <c r="AP43" s="489"/>
      <c r="AQ43" s="535"/>
      <c r="AR43" s="489"/>
      <c r="AS43" s="551"/>
      <c r="AT43" s="489"/>
      <c r="AU43" s="551"/>
      <c r="AV43" s="536"/>
    </row>
    <row r="44" spans="2:48" ht="15">
      <c r="B44" s="343" t="s">
        <v>261</v>
      </c>
      <c r="C44" s="475" t="s">
        <v>251</v>
      </c>
      <c r="D44" s="529"/>
      <c r="E44" s="518"/>
      <c r="F44" s="530"/>
      <c r="G44" s="518"/>
      <c r="H44" s="530"/>
      <c r="I44" s="518"/>
      <c r="J44" s="530"/>
      <c r="K44" s="518"/>
      <c r="L44" s="530"/>
      <c r="M44" s="517"/>
      <c r="N44" s="145" t="s">
        <v>261</v>
      </c>
      <c r="O44" s="475" t="s">
        <v>251</v>
      </c>
      <c r="P44" s="584">
        <v>0.1</v>
      </c>
      <c r="Q44" s="531">
        <v>0.94</v>
      </c>
      <c r="R44" s="485">
        <v>12.02</v>
      </c>
      <c r="S44" s="345">
        <f>Q44*R44</f>
        <v>11.298799999999998</v>
      </c>
      <c r="T44" s="486">
        <v>77.02</v>
      </c>
      <c r="U44" s="345">
        <f>Q44*T44</f>
        <v>72.398799999999994</v>
      </c>
      <c r="V44" s="487">
        <v>11.98</v>
      </c>
      <c r="W44" s="345">
        <f>Q44*V44</f>
        <v>11.261200000000001</v>
      </c>
      <c r="X44" s="555">
        <v>0.9</v>
      </c>
      <c r="Y44" s="518"/>
      <c r="Z44" s="343" t="s">
        <v>261</v>
      </c>
      <c r="AA44" s="475" t="s">
        <v>251</v>
      </c>
      <c r="AB44" s="533">
        <v>0.5</v>
      </c>
      <c r="AC44" s="525">
        <v>4.71</v>
      </c>
      <c r="AD44" s="488">
        <v>12.02</v>
      </c>
      <c r="AE44" s="223">
        <f>AC44*AD44</f>
        <v>56.614199999999997</v>
      </c>
      <c r="AF44" s="477">
        <v>77.02</v>
      </c>
      <c r="AG44" s="345">
        <f>AC44*AF44</f>
        <v>362.76419999999996</v>
      </c>
      <c r="AH44" s="487">
        <v>11.98</v>
      </c>
      <c r="AI44" s="345">
        <f>AC44*AH44</f>
        <v>56.425800000000002</v>
      </c>
      <c r="AJ44" s="531">
        <v>0.9</v>
      </c>
      <c r="AK44" s="518"/>
      <c r="AL44" s="343" t="s">
        <v>261</v>
      </c>
      <c r="AM44" s="475" t="s">
        <v>251</v>
      </c>
      <c r="AN44" s="533">
        <v>0.9</v>
      </c>
      <c r="AO44" s="531">
        <v>8.48</v>
      </c>
      <c r="AP44" s="488">
        <v>12.02</v>
      </c>
      <c r="AQ44" s="345">
        <f>AO44*AP44</f>
        <v>101.92960000000001</v>
      </c>
      <c r="AR44" s="477">
        <v>77.02</v>
      </c>
      <c r="AS44" s="345">
        <f>AO44*AR44</f>
        <v>653.12959999999998</v>
      </c>
      <c r="AT44" s="478">
        <v>11.98</v>
      </c>
      <c r="AU44" s="345">
        <f>AO44*AT44</f>
        <v>101.5904</v>
      </c>
      <c r="AV44" s="531">
        <v>0.9</v>
      </c>
    </row>
    <row r="45" spans="2:48" ht="15">
      <c r="B45" s="537" t="s">
        <v>257</v>
      </c>
      <c r="C45" s="475" t="s">
        <v>247</v>
      </c>
      <c r="D45" s="538"/>
      <c r="E45" s="518"/>
      <c r="F45" s="539"/>
      <c r="G45" s="518"/>
      <c r="H45" s="539"/>
      <c r="I45" s="518"/>
      <c r="J45" s="539"/>
      <c r="K45" s="518"/>
      <c r="L45" s="539"/>
      <c r="M45" s="517"/>
      <c r="N45" s="537" t="s">
        <v>257</v>
      </c>
      <c r="O45" s="475" t="s">
        <v>247</v>
      </c>
      <c r="P45" s="584">
        <v>0.1</v>
      </c>
      <c r="Q45" s="540">
        <v>0.85</v>
      </c>
      <c r="R45" s="485">
        <v>12.02</v>
      </c>
      <c r="S45" s="350">
        <f t="shared" ref="S45:S49" si="18">Q45*R45</f>
        <v>10.216999999999999</v>
      </c>
      <c r="T45" s="486">
        <v>76.03</v>
      </c>
      <c r="U45" s="350">
        <f t="shared" ref="U45:U49" si="19">Q45*T45</f>
        <v>64.625500000000002</v>
      </c>
      <c r="V45" s="487">
        <v>-11.49</v>
      </c>
      <c r="W45" s="350">
        <f t="shared" ref="W45:W49" si="20">Q45*V45</f>
        <v>-9.7665000000000006</v>
      </c>
      <c r="X45" s="556">
        <v>0.5</v>
      </c>
      <c r="Y45" s="518"/>
      <c r="Z45" s="537" t="s">
        <v>257</v>
      </c>
      <c r="AA45" s="475" t="s">
        <v>247</v>
      </c>
      <c r="AB45" s="541">
        <v>0.5</v>
      </c>
      <c r="AC45" s="525">
        <v>4.25</v>
      </c>
      <c r="AD45" s="476">
        <v>12.02</v>
      </c>
      <c r="AE45" s="223">
        <f t="shared" ref="AE45:AE49" si="21">AC45*AD45</f>
        <v>51.085000000000001</v>
      </c>
      <c r="AF45" s="479">
        <v>76.03</v>
      </c>
      <c r="AG45" s="350">
        <f t="shared" ref="AG45:AG49" si="22">AC45*AF45</f>
        <v>323.1275</v>
      </c>
      <c r="AH45" s="487">
        <v>-11.49</v>
      </c>
      <c r="AI45" s="350">
        <f t="shared" ref="AI45:AI49" si="23">AC45*AH45</f>
        <v>-48.832500000000003</v>
      </c>
      <c r="AJ45" s="540">
        <v>0.5</v>
      </c>
      <c r="AK45" s="518"/>
      <c r="AL45" s="537" t="s">
        <v>257</v>
      </c>
      <c r="AM45" s="475" t="s">
        <v>247</v>
      </c>
      <c r="AN45" s="541">
        <v>0.9</v>
      </c>
      <c r="AO45" s="540">
        <v>7.64</v>
      </c>
      <c r="AP45" s="476">
        <v>12.02</v>
      </c>
      <c r="AQ45" s="350">
        <f t="shared" ref="AQ45:AQ49" si="24">AO45*AP45</f>
        <v>91.832799999999992</v>
      </c>
      <c r="AR45" s="479">
        <v>76.03</v>
      </c>
      <c r="AS45" s="350">
        <f t="shared" ref="AS45:AS49" si="25">AO45*AR45</f>
        <v>580.86919999999998</v>
      </c>
      <c r="AT45" s="480">
        <v>-11.49</v>
      </c>
      <c r="AU45" s="350">
        <f t="shared" ref="AU45:AU49" si="26">AO45*AT45</f>
        <v>-87.783599999999993</v>
      </c>
      <c r="AV45" s="540">
        <v>0.5</v>
      </c>
    </row>
    <row r="46" spans="2:48" ht="15">
      <c r="B46" s="537" t="s">
        <v>258</v>
      </c>
      <c r="C46" s="475" t="s">
        <v>248</v>
      </c>
      <c r="D46" s="538"/>
      <c r="E46" s="518"/>
      <c r="F46" s="539"/>
      <c r="G46" s="518"/>
      <c r="H46" s="539"/>
      <c r="I46" s="518"/>
      <c r="J46" s="539"/>
      <c r="K46" s="518"/>
      <c r="L46" s="539"/>
      <c r="M46" s="517"/>
      <c r="N46" s="537" t="s">
        <v>258</v>
      </c>
      <c r="O46" s="475" t="s">
        <v>248</v>
      </c>
      <c r="P46" s="584">
        <v>0.1</v>
      </c>
      <c r="Q46" s="540">
        <v>0.36</v>
      </c>
      <c r="R46" s="485">
        <v>23.35</v>
      </c>
      <c r="S46" s="350">
        <f t="shared" si="18"/>
        <v>8.4060000000000006</v>
      </c>
      <c r="T46" s="486">
        <v>189.34</v>
      </c>
      <c r="U46" s="350">
        <f t="shared" si="19"/>
        <v>68.162400000000005</v>
      </c>
      <c r="V46" s="487">
        <v>18.989999999999998</v>
      </c>
      <c r="W46" s="350">
        <f t="shared" si="20"/>
        <v>6.8363999999999994</v>
      </c>
      <c r="X46" s="556">
        <v>1.1000000000000001</v>
      </c>
      <c r="Y46" s="518"/>
      <c r="Z46" s="537" t="s">
        <v>258</v>
      </c>
      <c r="AA46" s="475" t="s">
        <v>248</v>
      </c>
      <c r="AB46" s="541">
        <v>0.5</v>
      </c>
      <c r="AC46" s="597">
        <v>1.8</v>
      </c>
      <c r="AD46" s="476">
        <v>23.35</v>
      </c>
      <c r="AE46" s="223">
        <f t="shared" si="21"/>
        <v>42.03</v>
      </c>
      <c r="AF46" s="479">
        <v>189.34</v>
      </c>
      <c r="AG46" s="350">
        <f t="shared" si="22"/>
        <v>340.81200000000001</v>
      </c>
      <c r="AH46" s="487">
        <v>18.989999999999998</v>
      </c>
      <c r="AI46" s="350">
        <f t="shared" si="23"/>
        <v>34.181999999999995</v>
      </c>
      <c r="AJ46" s="540">
        <v>1.1000000000000001</v>
      </c>
      <c r="AK46" s="518"/>
      <c r="AL46" s="537" t="s">
        <v>258</v>
      </c>
      <c r="AM46" s="475" t="s">
        <v>248</v>
      </c>
      <c r="AN46" s="541">
        <v>0.9</v>
      </c>
      <c r="AO46" s="540">
        <v>3.24</v>
      </c>
      <c r="AP46" s="476">
        <v>23.35</v>
      </c>
      <c r="AQ46" s="350">
        <f t="shared" si="24"/>
        <v>75.654000000000011</v>
      </c>
      <c r="AR46" s="479">
        <v>189.34</v>
      </c>
      <c r="AS46" s="350">
        <f t="shared" si="25"/>
        <v>613.46160000000009</v>
      </c>
      <c r="AT46" s="480">
        <v>18.989999999999998</v>
      </c>
      <c r="AU46" s="350">
        <f t="shared" si="26"/>
        <v>61.5276</v>
      </c>
      <c r="AV46" s="540">
        <v>1.1000000000000001</v>
      </c>
    </row>
    <row r="47" spans="2:48" ht="15">
      <c r="B47" s="537" t="s">
        <v>259</v>
      </c>
      <c r="C47" s="475" t="s">
        <v>249</v>
      </c>
      <c r="D47" s="538"/>
      <c r="E47" s="518"/>
      <c r="F47" s="539"/>
      <c r="G47" s="518"/>
      <c r="H47" s="539"/>
      <c r="I47" s="518"/>
      <c r="J47" s="539"/>
      <c r="K47" s="518"/>
      <c r="L47" s="539"/>
      <c r="M47" s="517"/>
      <c r="N47" s="537" t="s">
        <v>259</v>
      </c>
      <c r="O47" s="475" t="s">
        <v>249</v>
      </c>
      <c r="P47" s="584">
        <v>0.1</v>
      </c>
      <c r="Q47" s="540">
        <v>0.69</v>
      </c>
      <c r="R47" s="485">
        <v>7.46</v>
      </c>
      <c r="S47" s="350">
        <f t="shared" si="18"/>
        <v>5.1473999999999993</v>
      </c>
      <c r="T47" s="486">
        <v>45.06</v>
      </c>
      <c r="U47" s="350">
        <f t="shared" si="19"/>
        <v>31.0914</v>
      </c>
      <c r="V47" s="487">
        <v>0</v>
      </c>
      <c r="W47" s="350">
        <f t="shared" si="20"/>
        <v>0</v>
      </c>
      <c r="X47" s="556">
        <v>7.3</v>
      </c>
      <c r="Y47" s="518"/>
      <c r="Z47" s="537" t="s">
        <v>259</v>
      </c>
      <c r="AA47" s="475" t="s">
        <v>249</v>
      </c>
      <c r="AB47" s="541">
        <v>0.5</v>
      </c>
      <c r="AC47" s="525">
        <v>3.43</v>
      </c>
      <c r="AD47" s="476">
        <v>7.46</v>
      </c>
      <c r="AE47" s="223">
        <f t="shared" si="21"/>
        <v>25.587800000000001</v>
      </c>
      <c r="AF47" s="479">
        <v>45.06</v>
      </c>
      <c r="AG47" s="350">
        <f t="shared" si="22"/>
        <v>154.5558</v>
      </c>
      <c r="AH47" s="487">
        <v>0</v>
      </c>
      <c r="AI47" s="350">
        <f t="shared" si="23"/>
        <v>0</v>
      </c>
      <c r="AJ47" s="540">
        <v>7.3</v>
      </c>
      <c r="AK47" s="518"/>
      <c r="AL47" s="537" t="s">
        <v>259</v>
      </c>
      <c r="AM47" s="475" t="s">
        <v>249</v>
      </c>
      <c r="AN47" s="541">
        <v>0.9</v>
      </c>
      <c r="AO47" s="540">
        <v>6.17</v>
      </c>
      <c r="AP47" s="476">
        <v>7.46</v>
      </c>
      <c r="AQ47" s="350">
        <f t="shared" si="24"/>
        <v>46.028199999999998</v>
      </c>
      <c r="AR47" s="479">
        <v>45.06</v>
      </c>
      <c r="AS47" s="350">
        <f t="shared" si="25"/>
        <v>278.02019999999999</v>
      </c>
      <c r="AT47" s="480">
        <v>0</v>
      </c>
      <c r="AU47" s="350">
        <f t="shared" si="26"/>
        <v>0</v>
      </c>
      <c r="AV47" s="540">
        <v>7.3</v>
      </c>
    </row>
    <row r="48" spans="2:48" ht="15">
      <c r="B48" s="145" t="s">
        <v>260</v>
      </c>
      <c r="C48" s="475" t="s">
        <v>250</v>
      </c>
      <c r="D48" s="538"/>
      <c r="E48" s="518"/>
      <c r="F48" s="539"/>
      <c r="G48" s="518"/>
      <c r="H48" s="539"/>
      <c r="I48" s="518"/>
      <c r="J48" s="539"/>
      <c r="K48" s="518"/>
      <c r="L48" s="539"/>
      <c r="M48" s="517"/>
      <c r="N48" s="145" t="s">
        <v>260</v>
      </c>
      <c r="O48" s="475" t="s">
        <v>250</v>
      </c>
      <c r="P48" s="584">
        <v>0.1</v>
      </c>
      <c r="Q48" s="540">
        <v>1.56</v>
      </c>
      <c r="R48" s="485">
        <v>7.11</v>
      </c>
      <c r="S48" s="350">
        <f t="shared" si="18"/>
        <v>11.091600000000001</v>
      </c>
      <c r="T48" s="486">
        <v>54.15</v>
      </c>
      <c r="U48" s="350">
        <f t="shared" si="19"/>
        <v>84.474000000000004</v>
      </c>
      <c r="V48" s="487">
        <v>0</v>
      </c>
      <c r="W48" s="350">
        <f t="shared" si="20"/>
        <v>0</v>
      </c>
      <c r="X48" s="556">
        <v>14.6</v>
      </c>
      <c r="Y48" s="518"/>
      <c r="Z48" s="145" t="s">
        <v>260</v>
      </c>
      <c r="AA48" s="475" t="s">
        <v>250</v>
      </c>
      <c r="AB48" s="541">
        <v>0.5</v>
      </c>
      <c r="AC48" s="525">
        <v>7.79</v>
      </c>
      <c r="AD48" s="476">
        <v>7.11</v>
      </c>
      <c r="AE48" s="223">
        <f t="shared" si="21"/>
        <v>55.386900000000004</v>
      </c>
      <c r="AF48" s="479">
        <v>54.15</v>
      </c>
      <c r="AG48" s="350">
        <f t="shared" si="22"/>
        <v>421.82849999999996</v>
      </c>
      <c r="AH48" s="487">
        <v>0</v>
      </c>
      <c r="AI48" s="350">
        <f t="shared" si="23"/>
        <v>0</v>
      </c>
      <c r="AJ48" s="540">
        <v>14.6</v>
      </c>
      <c r="AK48" s="518"/>
      <c r="AL48" s="145" t="s">
        <v>260</v>
      </c>
      <c r="AM48" s="475" t="s">
        <v>250</v>
      </c>
      <c r="AN48" s="541">
        <v>0.9</v>
      </c>
      <c r="AO48" s="540">
        <v>14.02</v>
      </c>
      <c r="AP48" s="476">
        <v>7.11</v>
      </c>
      <c r="AQ48" s="350">
        <f t="shared" si="24"/>
        <v>99.682199999999995</v>
      </c>
      <c r="AR48" s="479">
        <v>54.15</v>
      </c>
      <c r="AS48" s="350">
        <f t="shared" si="25"/>
        <v>759.18299999999999</v>
      </c>
      <c r="AT48" s="480">
        <v>0</v>
      </c>
      <c r="AU48" s="350">
        <f t="shared" si="26"/>
        <v>0</v>
      </c>
      <c r="AV48" s="540">
        <v>14.6</v>
      </c>
    </row>
    <row r="49" spans="2:48" ht="15">
      <c r="B49" s="169" t="s">
        <v>281</v>
      </c>
      <c r="C49" s="475" t="s">
        <v>520</v>
      </c>
      <c r="D49" s="519"/>
      <c r="E49" s="518"/>
      <c r="F49" s="520"/>
      <c r="G49" s="518"/>
      <c r="H49" s="520"/>
      <c r="I49" s="518"/>
      <c r="J49" s="520"/>
      <c r="K49" s="518"/>
      <c r="L49" s="520"/>
      <c r="M49" s="517"/>
      <c r="N49" s="145" t="s">
        <v>281</v>
      </c>
      <c r="O49" s="475" t="s">
        <v>520</v>
      </c>
      <c r="P49" s="584">
        <v>0.1</v>
      </c>
      <c r="Q49" s="581">
        <v>0.09</v>
      </c>
      <c r="R49" s="485">
        <v>40.85</v>
      </c>
      <c r="S49" s="353">
        <f t="shared" si="18"/>
        <v>3.6764999999999999</v>
      </c>
      <c r="T49" s="486">
        <v>129.22</v>
      </c>
      <c r="U49" s="353">
        <f t="shared" si="19"/>
        <v>11.629799999999999</v>
      </c>
      <c r="V49" s="487">
        <v>-19.48</v>
      </c>
      <c r="W49" s="353">
        <f t="shared" si="20"/>
        <v>-1.7531999999999999</v>
      </c>
      <c r="X49" s="554">
        <v>0.2</v>
      </c>
      <c r="Y49" s="518"/>
      <c r="Z49" s="169" t="s">
        <v>281</v>
      </c>
      <c r="AA49" s="475" t="s">
        <v>520</v>
      </c>
      <c r="AB49" s="584">
        <v>0.43</v>
      </c>
      <c r="AC49" s="581">
        <v>0.43</v>
      </c>
      <c r="AD49" s="481">
        <v>40.85</v>
      </c>
      <c r="AE49" s="223">
        <f t="shared" si="21"/>
        <v>17.5655</v>
      </c>
      <c r="AF49" s="482">
        <v>129.22</v>
      </c>
      <c r="AG49" s="353">
        <f t="shared" si="22"/>
        <v>55.564599999999999</v>
      </c>
      <c r="AH49" s="487">
        <v>-19.48</v>
      </c>
      <c r="AI49" s="353">
        <f t="shared" si="23"/>
        <v>-8.3764000000000003</v>
      </c>
      <c r="AJ49" s="523">
        <v>0.2</v>
      </c>
      <c r="AK49" s="518"/>
      <c r="AL49" s="169" t="s">
        <v>281</v>
      </c>
      <c r="AM49" s="475" t="s">
        <v>520</v>
      </c>
      <c r="AN49" s="584">
        <v>0.9</v>
      </c>
      <c r="AO49" s="581">
        <v>0.77</v>
      </c>
      <c r="AP49" s="481">
        <v>40.85</v>
      </c>
      <c r="AQ49" s="353">
        <f t="shared" si="24"/>
        <v>31.454500000000003</v>
      </c>
      <c r="AR49" s="482">
        <v>129.22</v>
      </c>
      <c r="AS49" s="353">
        <f t="shared" si="25"/>
        <v>99.499400000000009</v>
      </c>
      <c r="AT49" s="483">
        <v>-19.48</v>
      </c>
      <c r="AU49" s="353">
        <f t="shared" si="26"/>
        <v>-14.999600000000001</v>
      </c>
      <c r="AV49" s="523">
        <v>0.2</v>
      </c>
    </row>
    <row r="50" spans="2:48" ht="15">
      <c r="B50" s="339" t="s">
        <v>24</v>
      </c>
      <c r="C50" s="356"/>
      <c r="D50" s="534"/>
      <c r="E50" s="535"/>
      <c r="F50" s="535"/>
      <c r="G50" s="535"/>
      <c r="H50" s="535"/>
      <c r="I50" s="535"/>
      <c r="J50" s="535"/>
      <c r="K50" s="535"/>
      <c r="L50" s="536"/>
      <c r="M50" s="517"/>
      <c r="N50" s="339" t="s">
        <v>24</v>
      </c>
      <c r="O50" s="356"/>
      <c r="P50" s="534"/>
      <c r="Q50" s="535"/>
      <c r="R50" s="489"/>
      <c r="S50" s="535"/>
      <c r="T50" s="489"/>
      <c r="U50" s="535"/>
      <c r="V50" s="489"/>
      <c r="W50" s="535"/>
      <c r="X50" s="536"/>
      <c r="Y50" s="518"/>
      <c r="Z50" s="339" t="s">
        <v>24</v>
      </c>
      <c r="AA50" s="356"/>
      <c r="AB50" s="534"/>
      <c r="AC50" s="535"/>
      <c r="AD50" s="489"/>
      <c r="AE50" s="535"/>
      <c r="AF50" s="489"/>
      <c r="AG50" s="535"/>
      <c r="AH50" s="489"/>
      <c r="AI50" s="535"/>
      <c r="AJ50" s="536"/>
      <c r="AK50" s="518"/>
      <c r="AL50" s="339" t="s">
        <v>24</v>
      </c>
      <c r="AM50" s="356"/>
      <c r="AN50" s="534"/>
      <c r="AO50" s="535"/>
      <c r="AP50" s="489"/>
      <c r="AQ50" s="535"/>
      <c r="AR50" s="489"/>
      <c r="AS50" s="535"/>
      <c r="AT50" s="489"/>
      <c r="AU50" s="535"/>
      <c r="AV50" s="536"/>
    </row>
    <row r="51" spans="2:48" ht="15">
      <c r="B51" s="348" t="s">
        <v>270</v>
      </c>
      <c r="C51" s="283" t="s">
        <v>238</v>
      </c>
      <c r="D51" s="542"/>
      <c r="E51" s="543"/>
      <c r="F51" s="543"/>
      <c r="G51" s="518"/>
      <c r="H51" s="543"/>
      <c r="I51" s="518"/>
      <c r="J51" s="543"/>
      <c r="K51" s="518"/>
      <c r="L51" s="543"/>
      <c r="M51" s="517"/>
      <c r="N51" s="145" t="s">
        <v>270</v>
      </c>
      <c r="O51" s="473" t="s">
        <v>238</v>
      </c>
      <c r="P51" s="584">
        <v>0.7</v>
      </c>
      <c r="Q51" s="544">
        <v>106.22</v>
      </c>
      <c r="R51" s="485">
        <v>8.42</v>
      </c>
      <c r="S51" s="490">
        <f>Q51*R51</f>
        <v>894.37239999999997</v>
      </c>
      <c r="T51" s="486">
        <v>143.47999999999999</v>
      </c>
      <c r="U51" s="345">
        <f>Q51*T51</f>
        <v>15240.445599999999</v>
      </c>
      <c r="V51" s="487">
        <v>0</v>
      </c>
      <c r="W51" s="345">
        <f>Q51*V51</f>
        <v>0</v>
      </c>
      <c r="X51" s="544">
        <v>3304.42</v>
      </c>
      <c r="Y51" s="518"/>
      <c r="Z51" s="348" t="s">
        <v>270</v>
      </c>
      <c r="AA51" s="283" t="s">
        <v>238</v>
      </c>
      <c r="AB51" s="545">
        <v>0.7</v>
      </c>
      <c r="AC51" s="543">
        <v>106.22</v>
      </c>
      <c r="AD51" s="491">
        <v>8.42</v>
      </c>
      <c r="AE51" s="490">
        <f>AC51*AD51</f>
        <v>894.37239999999997</v>
      </c>
      <c r="AF51" s="492">
        <v>143.47999999999999</v>
      </c>
      <c r="AG51" s="345">
        <f>AC51*AF51</f>
        <v>15240.445599999999</v>
      </c>
      <c r="AH51" s="487">
        <v>0</v>
      </c>
      <c r="AI51" s="345">
        <f>AC51*AH51</f>
        <v>0</v>
      </c>
      <c r="AJ51" s="544">
        <v>3304.42</v>
      </c>
      <c r="AK51" s="518"/>
      <c r="AL51" s="343" t="s">
        <v>270</v>
      </c>
      <c r="AM51" s="357" t="s">
        <v>238</v>
      </c>
      <c r="AN51" s="529">
        <v>0.7</v>
      </c>
      <c r="AO51" s="530">
        <v>106.22</v>
      </c>
      <c r="AP51" s="494">
        <v>8.42</v>
      </c>
      <c r="AQ51" s="345">
        <f>AO51*AP51</f>
        <v>894.37239999999997</v>
      </c>
      <c r="AR51" s="470">
        <v>143.47999999999999</v>
      </c>
      <c r="AS51" s="345">
        <f>AO51*AR51</f>
        <v>15240.445599999999</v>
      </c>
      <c r="AT51" s="471">
        <v>0</v>
      </c>
      <c r="AU51" s="345">
        <f>AO51*AT51</f>
        <v>0</v>
      </c>
      <c r="AV51" s="544">
        <v>3304.42</v>
      </c>
    </row>
    <row r="52" spans="2:48" ht="15">
      <c r="B52" s="339" t="s">
        <v>271</v>
      </c>
      <c r="C52" s="356"/>
      <c r="D52" s="534"/>
      <c r="E52" s="535"/>
      <c r="F52" s="535"/>
      <c r="G52" s="535"/>
      <c r="H52" s="535"/>
      <c r="I52" s="535"/>
      <c r="J52" s="535"/>
      <c r="K52" s="535"/>
      <c r="L52" s="536"/>
      <c r="M52" s="517"/>
      <c r="N52" s="339" t="s">
        <v>271</v>
      </c>
      <c r="O52" s="356"/>
      <c r="P52" s="534"/>
      <c r="Q52" s="535"/>
      <c r="R52" s="489"/>
      <c r="S52" s="535"/>
      <c r="T52" s="489"/>
      <c r="U52" s="535"/>
      <c r="V52" s="489"/>
      <c r="W52" s="535"/>
      <c r="X52" s="536"/>
      <c r="Y52" s="518"/>
      <c r="Z52" s="339" t="s">
        <v>271</v>
      </c>
      <c r="AA52" s="356"/>
      <c r="AB52" s="534"/>
      <c r="AC52" s="535"/>
      <c r="AD52" s="489"/>
      <c r="AE52" s="535"/>
      <c r="AF52" s="489"/>
      <c r="AG52" s="535"/>
      <c r="AH52" s="489"/>
      <c r="AI52" s="535"/>
      <c r="AJ52" s="536"/>
      <c r="AK52" s="518"/>
      <c r="AL52" s="339" t="s">
        <v>271</v>
      </c>
      <c r="AM52" s="356"/>
      <c r="AN52" s="534"/>
      <c r="AO52" s="489"/>
      <c r="AP52" s="526"/>
      <c r="AQ52" s="535"/>
      <c r="AR52" s="489"/>
      <c r="AS52" s="535"/>
      <c r="AT52" s="489"/>
      <c r="AU52" s="535"/>
      <c r="AV52" s="536"/>
    </row>
    <row r="53" spans="2:48" ht="15.75" thickBot="1">
      <c r="B53" s="496" t="s">
        <v>272</v>
      </c>
      <c r="C53" s="497" t="s">
        <v>273</v>
      </c>
      <c r="D53" s="546"/>
      <c r="E53" s="547"/>
      <c r="F53" s="543"/>
      <c r="G53" s="543"/>
      <c r="H53" s="543"/>
      <c r="I53" s="543"/>
      <c r="J53" s="543"/>
      <c r="K53" s="543"/>
      <c r="L53" s="543"/>
      <c r="M53" s="517"/>
      <c r="N53" s="169" t="s">
        <v>272</v>
      </c>
      <c r="O53" s="163" t="s">
        <v>273</v>
      </c>
      <c r="P53" s="585">
        <v>0.1</v>
      </c>
      <c r="Q53" s="547">
        <v>0.16</v>
      </c>
      <c r="R53" s="495">
        <v>2.33</v>
      </c>
      <c r="S53" s="499">
        <f>Q53*R53</f>
        <v>0.37280000000000002</v>
      </c>
      <c r="T53" s="498">
        <v>128</v>
      </c>
      <c r="U53" s="499">
        <f>Q53*T53</f>
        <v>20.48</v>
      </c>
      <c r="V53" s="500">
        <v>-2</v>
      </c>
      <c r="W53" s="499">
        <f>Q53*V53</f>
        <v>-0.32</v>
      </c>
      <c r="X53" s="547">
        <v>0.6</v>
      </c>
      <c r="Y53" s="518"/>
      <c r="Z53" s="496" t="s">
        <v>272</v>
      </c>
      <c r="AA53" s="497" t="s">
        <v>273</v>
      </c>
      <c r="AB53" s="585">
        <v>0.16</v>
      </c>
      <c r="AC53" s="547">
        <v>0.16</v>
      </c>
      <c r="AD53" s="495">
        <v>2.33</v>
      </c>
      <c r="AE53" s="499">
        <f>AC53*AD53</f>
        <v>0.37280000000000002</v>
      </c>
      <c r="AF53" s="498">
        <v>128</v>
      </c>
      <c r="AG53" s="499">
        <f>AC53*AF53</f>
        <v>20.48</v>
      </c>
      <c r="AH53" s="500">
        <v>-2</v>
      </c>
      <c r="AI53" s="499">
        <f>AC53*AH53</f>
        <v>-0.32</v>
      </c>
      <c r="AJ53" s="547">
        <v>0.6</v>
      </c>
      <c r="AK53" s="518"/>
      <c r="AL53" s="496" t="s">
        <v>272</v>
      </c>
      <c r="AM53" s="497" t="s">
        <v>273</v>
      </c>
      <c r="AN53" s="585">
        <v>0.16</v>
      </c>
      <c r="AO53" s="547">
        <v>0.16</v>
      </c>
      <c r="AP53" s="495">
        <v>2.33</v>
      </c>
      <c r="AQ53" s="223">
        <f>AO53*AP53</f>
        <v>0.37280000000000002</v>
      </c>
      <c r="AR53" s="498">
        <v>128</v>
      </c>
      <c r="AS53" s="499">
        <f>AO53*AR53</f>
        <v>20.48</v>
      </c>
      <c r="AT53" s="500">
        <v>-2</v>
      </c>
      <c r="AU53" s="499">
        <f>AO53*AT53</f>
        <v>-0.32</v>
      </c>
      <c r="AV53" s="547">
        <v>0.6</v>
      </c>
    </row>
    <row r="54" spans="2:48" ht="15">
      <c r="B54" s="47" t="s">
        <v>84</v>
      </c>
      <c r="C54" s="198"/>
      <c r="D54" s="514" t="s">
        <v>86</v>
      </c>
      <c r="E54" s="353"/>
      <c r="F54" s="66"/>
      <c r="G54" s="66"/>
      <c r="H54" s="66"/>
      <c r="I54" s="66"/>
      <c r="J54" s="66"/>
      <c r="K54" s="66"/>
      <c r="L54" s="66"/>
      <c r="M54" s="517"/>
      <c r="N54" s="47" t="s">
        <v>84</v>
      </c>
      <c r="O54" s="198"/>
      <c r="P54" s="510" t="s">
        <v>86</v>
      </c>
      <c r="Q54" s="353">
        <f>SUM(Q7:Q19,Q21:Q36,Q38:Q39,Q41:Q42,Q44:Q49,Q51,Q53,)</f>
        <v>1014.4700000000003</v>
      </c>
      <c r="R54" s="353">
        <f>S54/Q54</f>
        <v>10.572960560686857</v>
      </c>
      <c r="S54" s="353">
        <f>SUM(S7:S19,S21:S36,S38:S39,S41:S42,S44:S49,S51,S53,)</f>
        <v>10725.951299999999</v>
      </c>
      <c r="T54" s="353">
        <f>U54/Q54</f>
        <v>135.99606296884085</v>
      </c>
      <c r="U54" s="353">
        <f>SUM(U7:U19,U21:U36,U38:U39,U41:U42,U44:U49,U51,U53,)</f>
        <v>137963.92600000001</v>
      </c>
      <c r="V54" s="353">
        <f>W54/Q54</f>
        <v>1.1013180281329167</v>
      </c>
      <c r="W54" s="353">
        <f>SUM(W7:W19,W21:W36,W38:W39,W41:W42,W44:W49,W51,W53,)</f>
        <v>1117.2541000000003</v>
      </c>
      <c r="X54" s="353">
        <f>SUM(X7:X19,X21:X36,X38:X39,X41:X42,X44:X49,X51,X53,)</f>
        <v>4345.1900000000005</v>
      </c>
      <c r="Y54" s="518"/>
      <c r="Z54" s="493" t="s">
        <v>84</v>
      </c>
      <c r="AA54" s="484"/>
      <c r="AB54" s="510" t="s">
        <v>86</v>
      </c>
      <c r="AC54" s="353">
        <f>SUM(AC7:AC19,AC21:AC36,AC38:AC39,AC41:AC42,AC44:AC49,AC51,AC53,)</f>
        <v>911.54</v>
      </c>
      <c r="AD54" s="353">
        <f>AE54/AC54</f>
        <v>9.3351425060885944</v>
      </c>
      <c r="AE54" s="353">
        <f>SUM(AE7:AE19,AE21:AE36,AE38:AE39,AE41:AE42,AE44:AE49,AE51,AE53,)</f>
        <v>8509.3557999999975</v>
      </c>
      <c r="AF54" s="353">
        <f>AG54/AC54</f>
        <v>144.79141705246073</v>
      </c>
      <c r="AG54" s="353">
        <f>SUM(AG7:AG19,AG21:AG36,AG38:AG39,AG41:AG42,AG44:AG49,AG51,AG53,)</f>
        <v>131983.16830000005</v>
      </c>
      <c r="AH54" s="353">
        <f>AI54/AC54</f>
        <v>1.6330135814116773</v>
      </c>
      <c r="AI54" s="353">
        <f>SUM(AI7:AI19,AI21:AI36,AI38:AI39,AI41:AI42,AI44:AI49,AI51,AI53,)</f>
        <v>1488.5572000000002</v>
      </c>
      <c r="AJ54" s="353">
        <f>SUM(AJ7:AJ19,AJ21:AJ36,AJ38:AJ39,AJ41:AJ42,AJ44:AJ49,AJ51,AJ53,)</f>
        <v>3871.83</v>
      </c>
      <c r="AK54" s="518"/>
      <c r="AL54" s="493" t="s">
        <v>84</v>
      </c>
      <c r="AM54" s="484"/>
      <c r="AN54" s="510" t="s">
        <v>86</v>
      </c>
      <c r="AO54" s="353">
        <f>SUM(AO7:AO19,AO21:AO36,AO38:AO39,AO41:AO42,AO44:AO49,AO51,AO53,)</f>
        <v>750.13</v>
      </c>
      <c r="AP54" s="353">
        <f>AQ54/AO54</f>
        <v>8.1771138336021778</v>
      </c>
      <c r="AQ54" s="66">
        <f>SUM(AQ7:AQ19,AQ21:AQ36,AQ38:AQ39,AQ41:AQ42,AQ44:AQ49,AQ51,AQ53,)</f>
        <v>6133.8984000000009</v>
      </c>
      <c r="AR54" s="353">
        <f>AS54/AO54</f>
        <v>135.30926132803646</v>
      </c>
      <c r="AS54" s="353">
        <f>SUM(AS7:AS19,AS21:AS36,AS38:AS39,AS41:AS42,AS44:AS49,AS51,AS53,)</f>
        <v>101499.53619999999</v>
      </c>
      <c r="AT54" s="353">
        <f>AU54/AO54</f>
        <v>1.9914533480863317</v>
      </c>
      <c r="AU54" s="353">
        <f>SUM(AU7:AU19,AU21:AU36,AU38:AU39,AU41:AU42,AU44:AU49,AU51,AU53,)</f>
        <v>1493.8489</v>
      </c>
      <c r="AV54" s="353">
        <f>SUM(AV7:AV19,AV21:AV36,AV38:AV39,AV41:AV42,AV44:AV49,AV51,AV53,)</f>
        <v>3681.11</v>
      </c>
    </row>
  </sheetData>
  <mergeCells count="4">
    <mergeCell ref="B2:L2"/>
    <mergeCell ref="N2:X2"/>
    <mergeCell ref="Z2:AJ2"/>
    <mergeCell ref="AL2:AV2"/>
  </mergeCells>
  <phoneticPr fontId="10" type="noConversion"/>
  <printOptions horizontalCentered="1" verticalCentered="1"/>
  <pageMargins left="0.5" right="0.5" top="0.25" bottom="0.25" header="0" footer="0"/>
  <pageSetup scale="16" orientation="portrait" r:id="rId1"/>
  <headerFooter alignWithMargins="0"/>
  <ignoredErrors>
    <ignoredError sqref="O7:AS7 O48:AP48 O14:AS14 O13 R13:AA13 O9:AS12 O8 R8:AA8 O16:AS16 O15 R15:AM15 AD13:AS13 AD8:AS8 O20:AS20 O19:AM19 AP19:AS19 O18:AN18 O17:AA17 AD17:AM17 AP15:AS15 AP18:AS18 AP17:AS17 O37:AS47 O21 Q21:AS21 O22 Q22:W22 O23 Q23:W23 O24 Q24:W24 O25 Q25:W25 O26 Q26:W26 O27 Q27:W27 O28 Q28:W28 O29 Q29:W29 O30 Q30:W30 AC26:AI26 AC27:AS27 AC28:AI28 AC29:AS29 AC30:AI30 O31:W31 Y31:AS31 Y22:AS22 Y23:AS23 Y24:AS24 Y25:AS25 Y26:AA26 Y27:AA27 Y28:AA28 Y29:AA29 Y30:AA30 O32:W32 Y32:AS32 O33:W36 Y33:AS36 AK26:AS26 AK28:AS28 AK30:AS30" twoDigitTextYear="1"/>
    <ignoredError sqref="Q54:AT5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B1:AR47"/>
  <sheetViews>
    <sheetView topLeftCell="C1" zoomScale="55" zoomScaleNormal="55" workbookViewId="0">
      <selection activeCell="B2" sqref="B2:K47"/>
    </sheetView>
  </sheetViews>
  <sheetFormatPr defaultRowHeight="12.75"/>
  <cols>
    <col min="1" max="1" width="9.33203125" style="44"/>
    <col min="2" max="2" width="44.5" style="44" customWidth="1"/>
    <col min="3" max="3" width="8.33203125" style="44" customWidth="1"/>
    <col min="4" max="4" width="10.83203125" style="176" customWidth="1"/>
    <col min="5" max="5" width="14" style="44" customWidth="1"/>
    <col min="6" max="6" width="10.83203125" style="44" customWidth="1"/>
    <col min="7" max="7" width="14" style="44" customWidth="1"/>
    <col min="8" max="8" width="10.83203125" style="44" customWidth="1"/>
    <col min="9" max="9" width="14" style="44" customWidth="1"/>
    <col min="10" max="10" width="10.83203125" style="44" customWidth="1"/>
    <col min="11" max="11" width="14" style="44" customWidth="1"/>
    <col min="12" max="12" width="9.33203125" style="44"/>
    <col min="13" max="13" width="44.5" style="44" customWidth="1"/>
    <col min="14" max="14" width="8.33203125" style="44" customWidth="1"/>
    <col min="15" max="15" width="10.83203125" style="44" customWidth="1"/>
    <col min="16" max="16" width="14" style="44" customWidth="1"/>
    <col min="17" max="17" width="10.83203125" style="44" customWidth="1"/>
    <col min="18" max="18" width="14" style="44" customWidth="1"/>
    <col min="19" max="19" width="10.83203125" style="44" customWidth="1"/>
    <col min="20" max="20" width="14" style="44" customWidth="1"/>
    <col min="21" max="21" width="10.83203125" style="44" customWidth="1"/>
    <col min="22" max="22" width="14" style="44" customWidth="1"/>
    <col min="23" max="23" width="9.33203125" style="44"/>
    <col min="24" max="24" width="44.5" style="44" customWidth="1"/>
    <col min="25" max="25" width="8.33203125" style="44" customWidth="1"/>
    <col min="26" max="26" width="10.83203125" style="44" customWidth="1"/>
    <col min="27" max="27" width="14" style="44" customWidth="1"/>
    <col min="28" max="28" width="10.83203125" style="44" customWidth="1"/>
    <col min="29" max="29" width="14" style="44" customWidth="1"/>
    <col min="30" max="30" width="10.83203125" style="44" customWidth="1"/>
    <col min="31" max="31" width="14" style="44" customWidth="1"/>
    <col min="32" max="32" width="10.83203125" style="44" customWidth="1"/>
    <col min="33" max="33" width="14" style="44" customWidth="1"/>
    <col min="34" max="34" width="9.33203125" style="44"/>
    <col min="35" max="35" width="44.5" style="44" customWidth="1"/>
    <col min="36" max="36" width="8.33203125" style="44" customWidth="1"/>
    <col min="37" max="37" width="10.83203125" style="44" customWidth="1"/>
    <col min="38" max="38" width="14" style="44" customWidth="1"/>
    <col min="39" max="39" width="10.83203125" style="44" customWidth="1"/>
    <col min="40" max="40" width="14" style="44" customWidth="1"/>
    <col min="41" max="41" width="10.83203125" style="44" customWidth="1"/>
    <col min="42" max="42" width="14" style="44" customWidth="1"/>
    <col min="43" max="43" width="10.83203125" style="44" customWidth="1"/>
    <col min="44" max="44" width="14" style="44" customWidth="1"/>
    <col min="45" max="16384" width="9.33203125" style="44"/>
  </cols>
  <sheetData>
    <row r="1" spans="2:44">
      <c r="D1" s="44"/>
    </row>
    <row r="2" spans="2:44" ht="18.75">
      <c r="B2" s="706" t="s">
        <v>68</v>
      </c>
      <c r="C2" s="707"/>
      <c r="D2" s="707"/>
      <c r="E2" s="707"/>
      <c r="F2" s="707"/>
      <c r="G2" s="707"/>
      <c r="H2" s="707"/>
      <c r="I2" s="707"/>
      <c r="J2" s="707"/>
      <c r="K2" s="708"/>
      <c r="M2" s="706" t="s">
        <v>68</v>
      </c>
      <c r="N2" s="707"/>
      <c r="O2" s="707"/>
      <c r="P2" s="707"/>
      <c r="Q2" s="707"/>
      <c r="R2" s="707"/>
      <c r="S2" s="707"/>
      <c r="T2" s="707"/>
      <c r="U2" s="707"/>
      <c r="V2" s="708"/>
      <c r="X2" s="706" t="s">
        <v>68</v>
      </c>
      <c r="Y2" s="707"/>
      <c r="Z2" s="707"/>
      <c r="AA2" s="707"/>
      <c r="AB2" s="707"/>
      <c r="AC2" s="707"/>
      <c r="AD2" s="707"/>
      <c r="AE2" s="707"/>
      <c r="AF2" s="707"/>
      <c r="AG2" s="708"/>
      <c r="AI2" s="706" t="s">
        <v>68</v>
      </c>
      <c r="AJ2" s="707"/>
      <c r="AK2" s="707"/>
      <c r="AL2" s="707"/>
      <c r="AM2" s="707"/>
      <c r="AN2" s="707"/>
      <c r="AO2" s="707"/>
      <c r="AP2" s="707"/>
      <c r="AQ2" s="707"/>
      <c r="AR2" s="708"/>
    </row>
    <row r="3" spans="2:44" ht="15.75">
      <c r="B3" s="122" t="s">
        <v>61</v>
      </c>
      <c r="C3" s="121" t="s">
        <v>64</v>
      </c>
      <c r="D3" s="121" t="s">
        <v>93</v>
      </c>
      <c r="E3" s="121" t="s">
        <v>41</v>
      </c>
      <c r="F3" s="121" t="s">
        <v>16</v>
      </c>
      <c r="G3" s="121" t="s">
        <v>140</v>
      </c>
      <c r="H3" s="121" t="s">
        <v>42</v>
      </c>
      <c r="I3" s="121" t="s">
        <v>141</v>
      </c>
      <c r="J3" s="121" t="s">
        <v>43</v>
      </c>
      <c r="K3" s="121" t="s">
        <v>142</v>
      </c>
      <c r="L3" s="67"/>
      <c r="M3" s="122" t="s">
        <v>61</v>
      </c>
      <c r="N3" s="121" t="s">
        <v>64</v>
      </c>
      <c r="O3" s="121" t="s">
        <v>93</v>
      </c>
      <c r="P3" s="121" t="s">
        <v>41</v>
      </c>
      <c r="Q3" s="121" t="s">
        <v>16</v>
      </c>
      <c r="R3" s="121" t="s">
        <v>140</v>
      </c>
      <c r="S3" s="121" t="s">
        <v>42</v>
      </c>
      <c r="T3" s="121" t="s">
        <v>141</v>
      </c>
      <c r="U3" s="121" t="s">
        <v>43</v>
      </c>
      <c r="V3" s="121" t="s">
        <v>142</v>
      </c>
      <c r="W3" s="67"/>
      <c r="X3" s="122" t="s">
        <v>61</v>
      </c>
      <c r="Y3" s="121" t="s">
        <v>64</v>
      </c>
      <c r="Z3" s="121" t="s">
        <v>93</v>
      </c>
      <c r="AA3" s="121" t="s">
        <v>41</v>
      </c>
      <c r="AB3" s="121" t="s">
        <v>16</v>
      </c>
      <c r="AC3" s="121" t="s">
        <v>140</v>
      </c>
      <c r="AD3" s="121" t="s">
        <v>42</v>
      </c>
      <c r="AE3" s="121" t="s">
        <v>141</v>
      </c>
      <c r="AF3" s="121" t="s">
        <v>43</v>
      </c>
      <c r="AG3" s="121" t="s">
        <v>142</v>
      </c>
      <c r="AH3" s="67"/>
      <c r="AI3" s="122" t="s">
        <v>61</v>
      </c>
      <c r="AJ3" s="121" t="s">
        <v>64</v>
      </c>
      <c r="AK3" s="121" t="s">
        <v>93</v>
      </c>
      <c r="AL3" s="121" t="s">
        <v>41</v>
      </c>
      <c r="AM3" s="121" t="s">
        <v>16</v>
      </c>
      <c r="AN3" s="121" t="s">
        <v>140</v>
      </c>
      <c r="AO3" s="121" t="s">
        <v>42</v>
      </c>
      <c r="AP3" s="121" t="s">
        <v>141</v>
      </c>
      <c r="AQ3" s="121" t="s">
        <v>43</v>
      </c>
      <c r="AR3" s="121" t="s">
        <v>142</v>
      </c>
    </row>
    <row r="4" spans="2:44" ht="15.75">
      <c r="B4" s="120"/>
      <c r="C4" s="119" t="s">
        <v>65</v>
      </c>
      <c r="D4" s="118" t="s">
        <v>41</v>
      </c>
      <c r="E4" s="118"/>
      <c r="F4" s="118" t="s">
        <v>63</v>
      </c>
      <c r="G4" s="118" t="s">
        <v>62</v>
      </c>
      <c r="H4" s="118" t="s">
        <v>63</v>
      </c>
      <c r="I4" s="118" t="s">
        <v>62</v>
      </c>
      <c r="J4" s="118" t="s">
        <v>63</v>
      </c>
      <c r="K4" s="118" t="s">
        <v>62</v>
      </c>
      <c r="L4" s="67"/>
      <c r="M4" s="120"/>
      <c r="N4" s="119" t="s">
        <v>65</v>
      </c>
      <c r="O4" s="118" t="s">
        <v>41</v>
      </c>
      <c r="P4" s="118"/>
      <c r="Q4" s="118" t="s">
        <v>63</v>
      </c>
      <c r="R4" s="118" t="s">
        <v>62</v>
      </c>
      <c r="S4" s="118" t="s">
        <v>63</v>
      </c>
      <c r="T4" s="118" t="s">
        <v>62</v>
      </c>
      <c r="U4" s="118" t="s">
        <v>63</v>
      </c>
      <c r="V4" s="118" t="s">
        <v>62</v>
      </c>
      <c r="W4" s="67"/>
      <c r="X4" s="120"/>
      <c r="Y4" s="119" t="s">
        <v>65</v>
      </c>
      <c r="Z4" s="118" t="s">
        <v>41</v>
      </c>
      <c r="AA4" s="118"/>
      <c r="AB4" s="118" t="s">
        <v>63</v>
      </c>
      <c r="AC4" s="118" t="s">
        <v>62</v>
      </c>
      <c r="AD4" s="118" t="s">
        <v>63</v>
      </c>
      <c r="AE4" s="118" t="s">
        <v>62</v>
      </c>
      <c r="AF4" s="118" t="s">
        <v>63</v>
      </c>
      <c r="AG4" s="118" t="s">
        <v>62</v>
      </c>
      <c r="AH4" s="67"/>
      <c r="AI4" s="120"/>
      <c r="AJ4" s="119" t="s">
        <v>65</v>
      </c>
      <c r="AK4" s="118" t="s">
        <v>41</v>
      </c>
      <c r="AL4" s="118"/>
      <c r="AM4" s="118" t="s">
        <v>63</v>
      </c>
      <c r="AN4" s="118" t="s">
        <v>62</v>
      </c>
      <c r="AO4" s="118" t="s">
        <v>63</v>
      </c>
      <c r="AP4" s="118" t="s">
        <v>62</v>
      </c>
      <c r="AQ4" s="118" t="s">
        <v>63</v>
      </c>
      <c r="AR4" s="118" t="s">
        <v>62</v>
      </c>
    </row>
    <row r="5" spans="2:44" ht="15.75">
      <c r="B5" s="117"/>
      <c r="C5" s="116" t="s">
        <v>87</v>
      </c>
      <c r="D5" s="116" t="s">
        <v>195</v>
      </c>
      <c r="E5" s="116" t="s">
        <v>195</v>
      </c>
      <c r="F5" s="115" t="s">
        <v>198</v>
      </c>
      <c r="G5" s="114" t="s">
        <v>266</v>
      </c>
      <c r="H5" s="115" t="s">
        <v>196</v>
      </c>
      <c r="I5" s="114" t="s">
        <v>266</v>
      </c>
      <c r="J5" s="116" t="s">
        <v>197</v>
      </c>
      <c r="K5" s="114" t="s">
        <v>266</v>
      </c>
      <c r="L5" s="67"/>
      <c r="M5" s="117"/>
      <c r="N5" s="116" t="s">
        <v>87</v>
      </c>
      <c r="O5" s="116" t="s">
        <v>195</v>
      </c>
      <c r="P5" s="116" t="s">
        <v>195</v>
      </c>
      <c r="Q5" s="115" t="s">
        <v>198</v>
      </c>
      <c r="R5" s="114" t="s">
        <v>266</v>
      </c>
      <c r="S5" s="115" t="s">
        <v>196</v>
      </c>
      <c r="T5" s="114" t="s">
        <v>266</v>
      </c>
      <c r="U5" s="116" t="s">
        <v>197</v>
      </c>
      <c r="V5" s="114" t="s">
        <v>266</v>
      </c>
      <c r="W5" s="67"/>
      <c r="X5" s="117"/>
      <c r="Y5" s="116" t="s">
        <v>87</v>
      </c>
      <c r="Z5" s="116" t="s">
        <v>195</v>
      </c>
      <c r="AA5" s="116" t="s">
        <v>195</v>
      </c>
      <c r="AB5" s="115" t="s">
        <v>198</v>
      </c>
      <c r="AC5" s="114" t="s">
        <v>266</v>
      </c>
      <c r="AD5" s="115" t="s">
        <v>196</v>
      </c>
      <c r="AE5" s="114" t="s">
        <v>266</v>
      </c>
      <c r="AF5" s="116" t="s">
        <v>197</v>
      </c>
      <c r="AG5" s="114" t="s">
        <v>266</v>
      </c>
      <c r="AH5" s="67"/>
      <c r="AI5" s="117"/>
      <c r="AJ5" s="116" t="s">
        <v>87</v>
      </c>
      <c r="AK5" s="116" t="s">
        <v>195</v>
      </c>
      <c r="AL5" s="116" t="s">
        <v>195</v>
      </c>
      <c r="AM5" s="115" t="s">
        <v>198</v>
      </c>
      <c r="AN5" s="114" t="s">
        <v>266</v>
      </c>
      <c r="AO5" s="115" t="s">
        <v>196</v>
      </c>
      <c r="AP5" s="114" t="s">
        <v>266</v>
      </c>
      <c r="AQ5" s="116" t="s">
        <v>197</v>
      </c>
      <c r="AR5" s="114" t="s">
        <v>266</v>
      </c>
    </row>
    <row r="6" spans="2:44" ht="15.75">
      <c r="B6" s="131" t="s">
        <v>67</v>
      </c>
      <c r="C6" s="130"/>
      <c r="D6" s="173"/>
      <c r="E6" s="130"/>
      <c r="F6" s="129"/>
      <c r="G6" s="130"/>
      <c r="H6" s="129"/>
      <c r="I6" s="130"/>
      <c r="J6" s="129"/>
      <c r="K6" s="128"/>
      <c r="L6" s="67"/>
      <c r="M6" s="131" t="s">
        <v>67</v>
      </c>
      <c r="N6" s="130"/>
      <c r="O6" s="173"/>
      <c r="P6" s="130"/>
      <c r="Q6" s="129"/>
      <c r="R6" s="130"/>
      <c r="S6" s="129"/>
      <c r="T6" s="130"/>
      <c r="U6" s="129"/>
      <c r="V6" s="128"/>
      <c r="W6" s="67"/>
      <c r="X6" s="131" t="s">
        <v>67</v>
      </c>
      <c r="Y6" s="130"/>
      <c r="Z6" s="173"/>
      <c r="AA6" s="130"/>
      <c r="AB6" s="129"/>
      <c r="AC6" s="130"/>
      <c r="AD6" s="129"/>
      <c r="AE6" s="130"/>
      <c r="AF6" s="129"/>
      <c r="AG6" s="128"/>
      <c r="AH6" s="67"/>
      <c r="AI6" s="131" t="s">
        <v>67</v>
      </c>
      <c r="AJ6" s="130"/>
      <c r="AK6" s="173"/>
      <c r="AL6" s="130"/>
      <c r="AM6" s="129"/>
      <c r="AN6" s="130"/>
      <c r="AO6" s="129"/>
      <c r="AP6" s="130"/>
      <c r="AQ6" s="129"/>
      <c r="AR6" s="128"/>
    </row>
    <row r="7" spans="2:44" ht="15.75">
      <c r="B7" s="127" t="s">
        <v>441</v>
      </c>
      <c r="C7" s="126" t="s">
        <v>514</v>
      </c>
      <c r="D7" s="174">
        <v>7</v>
      </c>
      <c r="E7" s="125"/>
      <c r="F7" s="125">
        <v>49</v>
      </c>
      <c r="G7" s="125">
        <f>F7*E7</f>
        <v>0</v>
      </c>
      <c r="H7" s="125">
        <v>70</v>
      </c>
      <c r="I7" s="125">
        <f>H7*E7</f>
        <v>0</v>
      </c>
      <c r="J7" s="125">
        <v>0</v>
      </c>
      <c r="K7" s="125">
        <f>J7*E7</f>
        <v>0</v>
      </c>
      <c r="L7" s="67"/>
      <c r="M7" s="127" t="s">
        <v>441</v>
      </c>
      <c r="N7" s="126" t="s">
        <v>188</v>
      </c>
      <c r="O7" s="174">
        <v>7</v>
      </c>
      <c r="P7" s="125">
        <v>7</v>
      </c>
      <c r="Q7" s="125">
        <v>49</v>
      </c>
      <c r="R7" s="125">
        <f>Q7*P7</f>
        <v>343</v>
      </c>
      <c r="S7" s="125">
        <v>70</v>
      </c>
      <c r="T7" s="125">
        <f>S7*P7</f>
        <v>490</v>
      </c>
      <c r="U7" s="125">
        <v>0</v>
      </c>
      <c r="V7" s="125">
        <f>U7*P7</f>
        <v>0</v>
      </c>
      <c r="W7" s="67"/>
      <c r="X7" s="127" t="s">
        <v>441</v>
      </c>
      <c r="Y7" s="126" t="s">
        <v>188</v>
      </c>
      <c r="Z7" s="174">
        <v>7</v>
      </c>
      <c r="AA7" s="125">
        <v>7</v>
      </c>
      <c r="AB7" s="125">
        <v>49</v>
      </c>
      <c r="AC7" s="125">
        <f>AB7*AA7</f>
        <v>343</v>
      </c>
      <c r="AD7" s="125">
        <v>70</v>
      </c>
      <c r="AE7" s="125">
        <f>AD7*AA7</f>
        <v>490</v>
      </c>
      <c r="AF7" s="125">
        <v>0</v>
      </c>
      <c r="AG7" s="125">
        <f>AF7*AA7</f>
        <v>0</v>
      </c>
      <c r="AH7" s="67"/>
      <c r="AI7" s="127" t="s">
        <v>441</v>
      </c>
      <c r="AJ7" s="126" t="s">
        <v>188</v>
      </c>
      <c r="AK7" s="174">
        <v>7</v>
      </c>
      <c r="AL7" s="125">
        <v>7</v>
      </c>
      <c r="AM7" s="125">
        <v>49</v>
      </c>
      <c r="AN7" s="125">
        <f>AM7*AL7</f>
        <v>343</v>
      </c>
      <c r="AO7" s="125">
        <v>70</v>
      </c>
      <c r="AP7" s="125">
        <f>AO7*AL7</f>
        <v>490</v>
      </c>
      <c r="AQ7" s="125">
        <v>0</v>
      </c>
      <c r="AR7" s="125">
        <f>AQ7*AL7</f>
        <v>0</v>
      </c>
    </row>
    <row r="8" spans="2:44" ht="15.75">
      <c r="B8" s="127" t="s">
        <v>160</v>
      </c>
      <c r="C8" s="126" t="s">
        <v>514</v>
      </c>
      <c r="D8" s="174"/>
      <c r="E8" s="125"/>
      <c r="F8" s="125">
        <v>23</v>
      </c>
      <c r="G8" s="125">
        <f t="shared" ref="G8:G29" si="0">F8*E8</f>
        <v>0</v>
      </c>
      <c r="H8" s="125">
        <v>30</v>
      </c>
      <c r="I8" s="125">
        <f t="shared" ref="I8:I29" si="1">H8*E8</f>
        <v>0</v>
      </c>
      <c r="J8" s="125">
        <v>12</v>
      </c>
      <c r="K8" s="125">
        <f t="shared" ref="K8:K29" si="2">J8*E8</f>
        <v>0</v>
      </c>
      <c r="L8" s="67"/>
      <c r="M8" s="127" t="s">
        <v>160</v>
      </c>
      <c r="N8" s="126" t="s">
        <v>188</v>
      </c>
      <c r="O8" s="174"/>
      <c r="P8" s="125">
        <v>8</v>
      </c>
      <c r="Q8" s="125">
        <v>23</v>
      </c>
      <c r="R8" s="125">
        <f t="shared" ref="R8:R29" si="3">Q8*P8</f>
        <v>184</v>
      </c>
      <c r="S8" s="125">
        <v>30</v>
      </c>
      <c r="T8" s="125">
        <f t="shared" ref="T8:T29" si="4">S8*P8</f>
        <v>240</v>
      </c>
      <c r="U8" s="125">
        <v>12</v>
      </c>
      <c r="V8" s="125">
        <f t="shared" ref="V8:V29" si="5">U8*P8</f>
        <v>96</v>
      </c>
      <c r="W8" s="67"/>
      <c r="X8" s="127" t="s">
        <v>160</v>
      </c>
      <c r="Y8" s="126" t="s">
        <v>188</v>
      </c>
      <c r="Z8" s="174"/>
      <c r="AA8" s="125">
        <v>4</v>
      </c>
      <c r="AB8" s="125">
        <v>23</v>
      </c>
      <c r="AC8" s="125">
        <f t="shared" ref="AC8:AC29" si="6">AB8*AA8</f>
        <v>92</v>
      </c>
      <c r="AD8" s="125">
        <v>30</v>
      </c>
      <c r="AE8" s="125">
        <f t="shared" ref="AE8:AE29" si="7">AD8*AA8</f>
        <v>120</v>
      </c>
      <c r="AF8" s="125">
        <v>12</v>
      </c>
      <c r="AG8" s="125">
        <f t="shared" ref="AG8:AG29" si="8">AF8*AA8</f>
        <v>48</v>
      </c>
      <c r="AH8" s="67"/>
      <c r="AI8" s="127" t="s">
        <v>160</v>
      </c>
      <c r="AJ8" s="126" t="s">
        <v>188</v>
      </c>
      <c r="AK8" s="174"/>
      <c r="AL8" s="125">
        <v>0.8</v>
      </c>
      <c r="AM8" s="125">
        <v>23</v>
      </c>
      <c r="AN8" s="125">
        <f t="shared" ref="AN8:AN29" si="9">AM8*AL8</f>
        <v>18.400000000000002</v>
      </c>
      <c r="AO8" s="125">
        <v>30</v>
      </c>
      <c r="AP8" s="125">
        <f t="shared" ref="AP8:AP29" si="10">AO8*AL8</f>
        <v>24</v>
      </c>
      <c r="AQ8" s="125">
        <v>12</v>
      </c>
      <c r="AR8" s="125">
        <f t="shared" ref="AR8:AR29" si="11">AQ8*AL8</f>
        <v>9.6000000000000014</v>
      </c>
    </row>
    <row r="9" spans="2:44" ht="15.75">
      <c r="B9" s="127" t="s">
        <v>92</v>
      </c>
      <c r="C9" s="126" t="s">
        <v>514</v>
      </c>
      <c r="D9" s="174"/>
      <c r="E9" s="125"/>
      <c r="F9" s="125">
        <v>23</v>
      </c>
      <c r="G9" s="125">
        <f t="shared" si="0"/>
        <v>0</v>
      </c>
      <c r="H9" s="125">
        <v>30</v>
      </c>
      <c r="I9" s="125">
        <f t="shared" si="1"/>
        <v>0</v>
      </c>
      <c r="J9" s="125">
        <v>-12</v>
      </c>
      <c r="K9" s="125">
        <f t="shared" si="2"/>
        <v>0</v>
      </c>
      <c r="L9" s="67"/>
      <c r="M9" s="127" t="s">
        <v>92</v>
      </c>
      <c r="N9" s="126" t="s">
        <v>188</v>
      </c>
      <c r="O9" s="174"/>
      <c r="P9" s="125">
        <v>8</v>
      </c>
      <c r="Q9" s="125">
        <v>23</v>
      </c>
      <c r="R9" s="125">
        <f t="shared" si="3"/>
        <v>184</v>
      </c>
      <c r="S9" s="125">
        <v>30</v>
      </c>
      <c r="T9" s="125">
        <f t="shared" si="4"/>
        <v>240</v>
      </c>
      <c r="U9" s="125">
        <v>-12</v>
      </c>
      <c r="V9" s="125">
        <f t="shared" si="5"/>
        <v>-96</v>
      </c>
      <c r="W9" s="67"/>
      <c r="X9" s="127" t="s">
        <v>92</v>
      </c>
      <c r="Y9" s="126" t="s">
        <v>188</v>
      </c>
      <c r="Z9" s="174"/>
      <c r="AA9" s="125">
        <v>4</v>
      </c>
      <c r="AB9" s="125">
        <v>23</v>
      </c>
      <c r="AC9" s="125">
        <f t="shared" si="6"/>
        <v>92</v>
      </c>
      <c r="AD9" s="125">
        <v>30</v>
      </c>
      <c r="AE9" s="125">
        <f t="shared" si="7"/>
        <v>120</v>
      </c>
      <c r="AF9" s="125">
        <v>-12</v>
      </c>
      <c r="AG9" s="125">
        <f t="shared" si="8"/>
        <v>-48</v>
      </c>
      <c r="AH9" s="67"/>
      <c r="AI9" s="127" t="s">
        <v>92</v>
      </c>
      <c r="AJ9" s="126" t="s">
        <v>188</v>
      </c>
      <c r="AK9" s="174"/>
      <c r="AL9" s="125">
        <v>0.8</v>
      </c>
      <c r="AM9" s="125">
        <v>23</v>
      </c>
      <c r="AN9" s="125">
        <f t="shared" si="9"/>
        <v>18.400000000000002</v>
      </c>
      <c r="AO9" s="125">
        <v>30</v>
      </c>
      <c r="AP9" s="125">
        <f t="shared" si="10"/>
        <v>24</v>
      </c>
      <c r="AQ9" s="125">
        <v>-12</v>
      </c>
      <c r="AR9" s="125">
        <f t="shared" si="11"/>
        <v>-9.6000000000000014</v>
      </c>
    </row>
    <row r="10" spans="2:44" ht="15.75">
      <c r="B10" s="127" t="s">
        <v>442</v>
      </c>
      <c r="C10" s="126" t="s">
        <v>514</v>
      </c>
      <c r="D10" s="174"/>
      <c r="E10" s="125"/>
      <c r="F10" s="125">
        <v>23</v>
      </c>
      <c r="G10" s="125">
        <f t="shared" si="0"/>
        <v>0</v>
      </c>
      <c r="H10" s="125">
        <v>60</v>
      </c>
      <c r="I10" s="125">
        <f t="shared" si="1"/>
        <v>0</v>
      </c>
      <c r="J10" s="125">
        <v>16</v>
      </c>
      <c r="K10" s="125">
        <f t="shared" si="2"/>
        <v>0</v>
      </c>
      <c r="L10" s="67"/>
      <c r="M10" s="127" t="s">
        <v>442</v>
      </c>
      <c r="N10" s="126" t="s">
        <v>188</v>
      </c>
      <c r="O10" s="174"/>
      <c r="P10" s="125">
        <v>6</v>
      </c>
      <c r="Q10" s="125">
        <v>23</v>
      </c>
      <c r="R10" s="125">
        <f t="shared" si="3"/>
        <v>138</v>
      </c>
      <c r="S10" s="125">
        <v>60</v>
      </c>
      <c r="T10" s="125">
        <f t="shared" si="4"/>
        <v>360</v>
      </c>
      <c r="U10" s="125">
        <v>16</v>
      </c>
      <c r="V10" s="125">
        <f t="shared" si="5"/>
        <v>96</v>
      </c>
      <c r="W10" s="67"/>
      <c r="X10" s="127" t="s">
        <v>442</v>
      </c>
      <c r="Y10" s="126" t="s">
        <v>188</v>
      </c>
      <c r="Z10" s="174"/>
      <c r="AA10" s="125">
        <v>3</v>
      </c>
      <c r="AB10" s="125">
        <v>23</v>
      </c>
      <c r="AC10" s="125">
        <f t="shared" si="6"/>
        <v>69</v>
      </c>
      <c r="AD10" s="125">
        <v>60</v>
      </c>
      <c r="AE10" s="125">
        <f t="shared" si="7"/>
        <v>180</v>
      </c>
      <c r="AF10" s="125">
        <v>16</v>
      </c>
      <c r="AG10" s="125">
        <f t="shared" si="8"/>
        <v>48</v>
      </c>
      <c r="AH10" s="67"/>
      <c r="AI10" s="127" t="s">
        <v>442</v>
      </c>
      <c r="AJ10" s="126" t="s">
        <v>188</v>
      </c>
      <c r="AK10" s="174"/>
      <c r="AL10" s="125">
        <v>0.6</v>
      </c>
      <c r="AM10" s="125">
        <v>23</v>
      </c>
      <c r="AN10" s="125">
        <f t="shared" si="9"/>
        <v>13.799999999999999</v>
      </c>
      <c r="AO10" s="125">
        <v>60</v>
      </c>
      <c r="AP10" s="125">
        <f t="shared" si="10"/>
        <v>36</v>
      </c>
      <c r="AQ10" s="125">
        <v>16</v>
      </c>
      <c r="AR10" s="125">
        <f t="shared" si="11"/>
        <v>9.6</v>
      </c>
    </row>
    <row r="11" spans="2:44" ht="15.75">
      <c r="B11" s="124" t="s">
        <v>443</v>
      </c>
      <c r="C11" s="126" t="s">
        <v>514</v>
      </c>
      <c r="D11" s="174"/>
      <c r="E11" s="125"/>
      <c r="F11" s="123">
        <v>32</v>
      </c>
      <c r="G11" s="125">
        <f t="shared" si="0"/>
        <v>0</v>
      </c>
      <c r="H11" s="123">
        <v>32</v>
      </c>
      <c r="I11" s="125">
        <f t="shared" si="1"/>
        <v>0</v>
      </c>
      <c r="J11" s="123">
        <v>-14.5</v>
      </c>
      <c r="K11" s="125">
        <f t="shared" si="2"/>
        <v>0</v>
      </c>
      <c r="L11" s="67"/>
      <c r="M11" s="124" t="s">
        <v>443</v>
      </c>
      <c r="N11" s="126" t="s">
        <v>188</v>
      </c>
      <c r="O11" s="174"/>
      <c r="P11" s="125">
        <v>5</v>
      </c>
      <c r="Q11" s="123">
        <v>32</v>
      </c>
      <c r="R11" s="125">
        <f t="shared" si="3"/>
        <v>160</v>
      </c>
      <c r="S11" s="123">
        <v>32</v>
      </c>
      <c r="T11" s="125">
        <f t="shared" si="4"/>
        <v>160</v>
      </c>
      <c r="U11" s="123">
        <v>-14.5</v>
      </c>
      <c r="V11" s="125">
        <f t="shared" si="5"/>
        <v>-72.5</v>
      </c>
      <c r="W11" s="67"/>
      <c r="X11" s="124" t="s">
        <v>443</v>
      </c>
      <c r="Y11" s="126" t="s">
        <v>188</v>
      </c>
      <c r="Z11" s="174"/>
      <c r="AA11" s="125">
        <v>2.5</v>
      </c>
      <c r="AB11" s="123">
        <v>32</v>
      </c>
      <c r="AC11" s="125">
        <f t="shared" si="6"/>
        <v>80</v>
      </c>
      <c r="AD11" s="123">
        <v>32</v>
      </c>
      <c r="AE11" s="125">
        <f t="shared" si="7"/>
        <v>80</v>
      </c>
      <c r="AF11" s="123">
        <v>-14.5</v>
      </c>
      <c r="AG11" s="125">
        <f t="shared" si="8"/>
        <v>-36.25</v>
      </c>
      <c r="AH11" s="67"/>
      <c r="AI11" s="124" t="s">
        <v>443</v>
      </c>
      <c r="AJ11" s="126" t="s">
        <v>188</v>
      </c>
      <c r="AK11" s="174"/>
      <c r="AL11" s="125">
        <v>0.5</v>
      </c>
      <c r="AM11" s="123">
        <v>32</v>
      </c>
      <c r="AN11" s="125">
        <f t="shared" si="9"/>
        <v>16</v>
      </c>
      <c r="AO11" s="123">
        <v>32</v>
      </c>
      <c r="AP11" s="125">
        <f t="shared" si="10"/>
        <v>16</v>
      </c>
      <c r="AQ11" s="123">
        <v>-14.5</v>
      </c>
      <c r="AR11" s="125">
        <f t="shared" si="11"/>
        <v>-7.25</v>
      </c>
    </row>
    <row r="12" spans="2:44" ht="15.75">
      <c r="B12" s="124" t="s">
        <v>350</v>
      </c>
      <c r="C12" s="126" t="s">
        <v>514</v>
      </c>
      <c r="D12" s="174"/>
      <c r="E12" s="125"/>
      <c r="F12" s="123">
        <v>32.5</v>
      </c>
      <c r="G12" s="125">
        <f t="shared" si="0"/>
        <v>0</v>
      </c>
      <c r="H12" s="123">
        <v>6</v>
      </c>
      <c r="I12" s="125">
        <f t="shared" si="1"/>
        <v>0</v>
      </c>
      <c r="J12" s="123">
        <v>0</v>
      </c>
      <c r="K12" s="125">
        <f t="shared" si="2"/>
        <v>0</v>
      </c>
      <c r="L12" s="67"/>
      <c r="M12" s="124" t="s">
        <v>350</v>
      </c>
      <c r="N12" s="126" t="s">
        <v>188</v>
      </c>
      <c r="O12" s="174"/>
      <c r="P12" s="125">
        <v>10</v>
      </c>
      <c r="Q12" s="123">
        <v>32.5</v>
      </c>
      <c r="R12" s="125">
        <f t="shared" si="3"/>
        <v>325</v>
      </c>
      <c r="S12" s="123">
        <v>6</v>
      </c>
      <c r="T12" s="125">
        <f t="shared" si="4"/>
        <v>60</v>
      </c>
      <c r="U12" s="123">
        <v>0</v>
      </c>
      <c r="V12" s="125">
        <f t="shared" si="5"/>
        <v>0</v>
      </c>
      <c r="W12" s="67"/>
      <c r="X12" s="124" t="s">
        <v>350</v>
      </c>
      <c r="Y12" s="126" t="s">
        <v>188</v>
      </c>
      <c r="Z12" s="174"/>
      <c r="AA12" s="125">
        <v>10</v>
      </c>
      <c r="AB12" s="123">
        <v>32.5</v>
      </c>
      <c r="AC12" s="125">
        <f t="shared" si="6"/>
        <v>325</v>
      </c>
      <c r="AD12" s="123">
        <v>6</v>
      </c>
      <c r="AE12" s="125">
        <f t="shared" si="7"/>
        <v>60</v>
      </c>
      <c r="AF12" s="123">
        <v>0</v>
      </c>
      <c r="AG12" s="125">
        <f t="shared" si="8"/>
        <v>0</v>
      </c>
      <c r="AH12" s="67"/>
      <c r="AI12" s="124" t="s">
        <v>350</v>
      </c>
      <c r="AJ12" s="126" t="s">
        <v>188</v>
      </c>
      <c r="AK12" s="174"/>
      <c r="AL12" s="125">
        <v>10</v>
      </c>
      <c r="AM12" s="123">
        <v>32.5</v>
      </c>
      <c r="AN12" s="125">
        <f t="shared" si="9"/>
        <v>325</v>
      </c>
      <c r="AO12" s="123">
        <v>6</v>
      </c>
      <c r="AP12" s="125">
        <f t="shared" si="10"/>
        <v>60</v>
      </c>
      <c r="AQ12" s="123">
        <v>0</v>
      </c>
      <c r="AR12" s="125">
        <f t="shared" si="11"/>
        <v>0</v>
      </c>
    </row>
    <row r="13" spans="2:44" ht="15.75">
      <c r="B13" s="124" t="s">
        <v>348</v>
      </c>
      <c r="C13" s="126" t="s">
        <v>514</v>
      </c>
      <c r="D13" s="174"/>
      <c r="E13" s="125"/>
      <c r="F13" s="123">
        <v>23.5</v>
      </c>
      <c r="G13" s="125">
        <f t="shared" si="0"/>
        <v>0</v>
      </c>
      <c r="H13" s="123">
        <v>145</v>
      </c>
      <c r="I13" s="125">
        <f t="shared" si="1"/>
        <v>0</v>
      </c>
      <c r="J13" s="123">
        <v>0</v>
      </c>
      <c r="K13" s="125">
        <f t="shared" si="2"/>
        <v>0</v>
      </c>
      <c r="L13" s="67"/>
      <c r="M13" s="124" t="s">
        <v>348</v>
      </c>
      <c r="N13" s="126" t="s">
        <v>188</v>
      </c>
      <c r="O13" s="174"/>
      <c r="P13" s="125">
        <v>15</v>
      </c>
      <c r="Q13" s="123">
        <v>23.5</v>
      </c>
      <c r="R13" s="125">
        <f t="shared" si="3"/>
        <v>352.5</v>
      </c>
      <c r="S13" s="123">
        <v>145</v>
      </c>
      <c r="T13" s="125">
        <f t="shared" si="4"/>
        <v>2175</v>
      </c>
      <c r="U13" s="123">
        <v>0</v>
      </c>
      <c r="V13" s="125">
        <f t="shared" si="5"/>
        <v>0</v>
      </c>
      <c r="W13" s="67"/>
      <c r="X13" s="124" t="s">
        <v>348</v>
      </c>
      <c r="Y13" s="126" t="s">
        <v>188</v>
      </c>
      <c r="Z13" s="174"/>
      <c r="AA13" s="125">
        <v>15</v>
      </c>
      <c r="AB13" s="123">
        <v>23.5</v>
      </c>
      <c r="AC13" s="125">
        <f t="shared" si="6"/>
        <v>352.5</v>
      </c>
      <c r="AD13" s="123">
        <v>145</v>
      </c>
      <c r="AE13" s="125">
        <f t="shared" si="7"/>
        <v>2175</v>
      </c>
      <c r="AF13" s="123">
        <v>0</v>
      </c>
      <c r="AG13" s="125">
        <f t="shared" si="8"/>
        <v>0</v>
      </c>
      <c r="AH13" s="67"/>
      <c r="AI13" s="124" t="s">
        <v>348</v>
      </c>
      <c r="AJ13" s="126" t="s">
        <v>188</v>
      </c>
      <c r="AK13" s="174"/>
      <c r="AL13" s="125">
        <v>15</v>
      </c>
      <c r="AM13" s="123">
        <v>23.5</v>
      </c>
      <c r="AN13" s="125">
        <f t="shared" si="9"/>
        <v>352.5</v>
      </c>
      <c r="AO13" s="123">
        <v>145</v>
      </c>
      <c r="AP13" s="125">
        <f t="shared" si="10"/>
        <v>2175</v>
      </c>
      <c r="AQ13" s="123">
        <v>0</v>
      </c>
      <c r="AR13" s="125">
        <f t="shared" si="11"/>
        <v>0</v>
      </c>
    </row>
    <row r="14" spans="2:44" ht="15.75">
      <c r="B14" s="124" t="s">
        <v>444</v>
      </c>
      <c r="C14" s="126" t="s">
        <v>514</v>
      </c>
      <c r="D14" s="174"/>
      <c r="E14" s="125"/>
      <c r="F14" s="123">
        <v>32</v>
      </c>
      <c r="G14" s="125">
        <f t="shared" si="0"/>
        <v>0</v>
      </c>
      <c r="H14" s="123">
        <v>168</v>
      </c>
      <c r="I14" s="125">
        <f t="shared" si="1"/>
        <v>0</v>
      </c>
      <c r="J14" s="123">
        <v>18</v>
      </c>
      <c r="K14" s="125">
        <f t="shared" si="2"/>
        <v>0</v>
      </c>
      <c r="L14" s="67"/>
      <c r="M14" s="124" t="s">
        <v>444</v>
      </c>
      <c r="N14" s="126" t="s">
        <v>188</v>
      </c>
      <c r="O14" s="174"/>
      <c r="P14" s="125">
        <v>1</v>
      </c>
      <c r="Q14" s="123">
        <v>32</v>
      </c>
      <c r="R14" s="125">
        <f t="shared" si="3"/>
        <v>32</v>
      </c>
      <c r="S14" s="123">
        <v>168</v>
      </c>
      <c r="T14" s="125">
        <f t="shared" si="4"/>
        <v>168</v>
      </c>
      <c r="U14" s="123">
        <v>18</v>
      </c>
      <c r="V14" s="125">
        <f t="shared" si="5"/>
        <v>18</v>
      </c>
      <c r="W14" s="67"/>
      <c r="X14" s="124" t="s">
        <v>444</v>
      </c>
      <c r="Y14" s="126" t="s">
        <v>188</v>
      </c>
      <c r="Z14" s="174"/>
      <c r="AA14" s="125">
        <v>1</v>
      </c>
      <c r="AB14" s="123">
        <v>32</v>
      </c>
      <c r="AC14" s="125">
        <f t="shared" si="6"/>
        <v>32</v>
      </c>
      <c r="AD14" s="123">
        <v>168</v>
      </c>
      <c r="AE14" s="125">
        <f t="shared" si="7"/>
        <v>168</v>
      </c>
      <c r="AF14" s="123">
        <v>18</v>
      </c>
      <c r="AG14" s="125">
        <f t="shared" si="8"/>
        <v>18</v>
      </c>
      <c r="AH14" s="67"/>
      <c r="AI14" s="124" t="s">
        <v>444</v>
      </c>
      <c r="AJ14" s="126" t="s">
        <v>188</v>
      </c>
      <c r="AK14" s="174"/>
      <c r="AL14" s="125">
        <v>1</v>
      </c>
      <c r="AM14" s="123">
        <v>32</v>
      </c>
      <c r="AN14" s="125">
        <f t="shared" si="9"/>
        <v>32</v>
      </c>
      <c r="AO14" s="123">
        <v>168</v>
      </c>
      <c r="AP14" s="125">
        <f t="shared" si="10"/>
        <v>168</v>
      </c>
      <c r="AQ14" s="123">
        <v>18</v>
      </c>
      <c r="AR14" s="125">
        <f t="shared" si="11"/>
        <v>18</v>
      </c>
    </row>
    <row r="15" spans="2:44" ht="15.75">
      <c r="B15" s="124" t="s">
        <v>445</v>
      </c>
      <c r="C15" s="126" t="s">
        <v>514</v>
      </c>
      <c r="D15" s="174"/>
      <c r="E15" s="125"/>
      <c r="F15" s="123">
        <v>33.35</v>
      </c>
      <c r="G15" s="125">
        <f t="shared" si="0"/>
        <v>0</v>
      </c>
      <c r="H15" s="123">
        <v>188</v>
      </c>
      <c r="I15" s="125">
        <f t="shared" si="1"/>
        <v>0</v>
      </c>
      <c r="J15" s="123">
        <v>2.87</v>
      </c>
      <c r="K15" s="125">
        <f t="shared" si="2"/>
        <v>0</v>
      </c>
      <c r="L15" s="67"/>
      <c r="M15" s="124" t="s">
        <v>445</v>
      </c>
      <c r="N15" s="126" t="s">
        <v>188</v>
      </c>
      <c r="O15" s="174"/>
      <c r="P15" s="125">
        <v>73</v>
      </c>
      <c r="Q15" s="123">
        <v>33.35</v>
      </c>
      <c r="R15" s="125">
        <f t="shared" si="3"/>
        <v>2434.5500000000002</v>
      </c>
      <c r="S15" s="123">
        <v>188</v>
      </c>
      <c r="T15" s="125">
        <f t="shared" si="4"/>
        <v>13724</v>
      </c>
      <c r="U15" s="123">
        <v>2.87</v>
      </c>
      <c r="V15" s="125">
        <f t="shared" si="5"/>
        <v>209.51000000000002</v>
      </c>
      <c r="W15" s="67"/>
      <c r="X15" s="124" t="s">
        <v>445</v>
      </c>
      <c r="Y15" s="126" t="s">
        <v>188</v>
      </c>
      <c r="Z15" s="174"/>
      <c r="AA15" s="125">
        <v>73</v>
      </c>
      <c r="AB15" s="123">
        <v>33.35</v>
      </c>
      <c r="AC15" s="125">
        <f t="shared" si="6"/>
        <v>2434.5500000000002</v>
      </c>
      <c r="AD15" s="123">
        <v>188</v>
      </c>
      <c r="AE15" s="125">
        <f t="shared" si="7"/>
        <v>13724</v>
      </c>
      <c r="AF15" s="123">
        <v>2.87</v>
      </c>
      <c r="AG15" s="125">
        <f t="shared" si="8"/>
        <v>209.51000000000002</v>
      </c>
      <c r="AH15" s="67"/>
      <c r="AI15" s="124" t="s">
        <v>445</v>
      </c>
      <c r="AJ15" s="126" t="s">
        <v>188</v>
      </c>
      <c r="AK15" s="174"/>
      <c r="AL15" s="125">
        <v>73</v>
      </c>
      <c r="AM15" s="123">
        <v>33.35</v>
      </c>
      <c r="AN15" s="125">
        <f t="shared" si="9"/>
        <v>2434.5500000000002</v>
      </c>
      <c r="AO15" s="123">
        <v>188</v>
      </c>
      <c r="AP15" s="125">
        <f t="shared" si="10"/>
        <v>13724</v>
      </c>
      <c r="AQ15" s="123">
        <v>2.87</v>
      </c>
      <c r="AR15" s="125">
        <f t="shared" si="11"/>
        <v>209.51000000000002</v>
      </c>
    </row>
    <row r="16" spans="2:44" ht="15.75">
      <c r="B16" s="127" t="s">
        <v>446</v>
      </c>
      <c r="C16" s="126" t="s">
        <v>514</v>
      </c>
      <c r="D16" s="174"/>
      <c r="E16" s="125"/>
      <c r="F16" s="125">
        <v>66.5</v>
      </c>
      <c r="G16" s="125">
        <f t="shared" si="0"/>
        <v>0</v>
      </c>
      <c r="H16" s="125">
        <v>94</v>
      </c>
      <c r="I16" s="125">
        <f t="shared" si="1"/>
        <v>0</v>
      </c>
      <c r="J16" s="125">
        <v>0</v>
      </c>
      <c r="K16" s="125">
        <f t="shared" si="2"/>
        <v>0</v>
      </c>
      <c r="L16" s="67"/>
      <c r="M16" s="127" t="s">
        <v>446</v>
      </c>
      <c r="N16" s="126" t="s">
        <v>188</v>
      </c>
      <c r="O16" s="174"/>
      <c r="P16" s="125">
        <v>1</v>
      </c>
      <c r="Q16" s="125">
        <v>66.5</v>
      </c>
      <c r="R16" s="125">
        <f t="shared" si="3"/>
        <v>66.5</v>
      </c>
      <c r="S16" s="125">
        <v>94</v>
      </c>
      <c r="T16" s="125">
        <f t="shared" si="4"/>
        <v>94</v>
      </c>
      <c r="U16" s="125">
        <v>0</v>
      </c>
      <c r="V16" s="125">
        <f t="shared" si="5"/>
        <v>0</v>
      </c>
      <c r="W16" s="67"/>
      <c r="X16" s="127" t="s">
        <v>446</v>
      </c>
      <c r="Y16" s="126" t="s">
        <v>188</v>
      </c>
      <c r="Z16" s="174"/>
      <c r="AA16" s="125">
        <v>1</v>
      </c>
      <c r="AB16" s="125">
        <v>66.5</v>
      </c>
      <c r="AC16" s="125">
        <f t="shared" si="6"/>
        <v>66.5</v>
      </c>
      <c r="AD16" s="125">
        <v>94</v>
      </c>
      <c r="AE16" s="125">
        <f t="shared" si="7"/>
        <v>94</v>
      </c>
      <c r="AF16" s="125">
        <v>0</v>
      </c>
      <c r="AG16" s="125">
        <f t="shared" si="8"/>
        <v>0</v>
      </c>
      <c r="AH16" s="67"/>
      <c r="AI16" s="127" t="s">
        <v>446</v>
      </c>
      <c r="AJ16" s="126" t="s">
        <v>188</v>
      </c>
      <c r="AK16" s="174"/>
      <c r="AL16" s="125">
        <v>1</v>
      </c>
      <c r="AM16" s="125">
        <v>66.5</v>
      </c>
      <c r="AN16" s="125">
        <f t="shared" si="9"/>
        <v>66.5</v>
      </c>
      <c r="AO16" s="125">
        <v>94</v>
      </c>
      <c r="AP16" s="125">
        <f t="shared" si="10"/>
        <v>94</v>
      </c>
      <c r="AQ16" s="125">
        <v>0</v>
      </c>
      <c r="AR16" s="125">
        <f t="shared" si="11"/>
        <v>0</v>
      </c>
    </row>
    <row r="17" spans="2:44" ht="15.75">
      <c r="B17" s="127" t="s">
        <v>579</v>
      </c>
      <c r="C17" s="126" t="s">
        <v>514</v>
      </c>
      <c r="D17" s="174"/>
      <c r="E17" s="125"/>
      <c r="F17" s="125">
        <v>23</v>
      </c>
      <c r="G17" s="125">
        <f t="shared" si="0"/>
        <v>0</v>
      </c>
      <c r="H17" s="125">
        <v>161</v>
      </c>
      <c r="I17" s="125">
        <f t="shared" si="1"/>
        <v>0</v>
      </c>
      <c r="J17" s="125">
        <v>-8</v>
      </c>
      <c r="K17" s="125">
        <f t="shared" si="2"/>
        <v>0</v>
      </c>
      <c r="L17" s="67"/>
      <c r="M17" s="127" t="s">
        <v>579</v>
      </c>
      <c r="N17" s="126" t="s">
        <v>188</v>
      </c>
      <c r="O17" s="174"/>
      <c r="P17" s="125">
        <v>1</v>
      </c>
      <c r="Q17" s="125">
        <v>23</v>
      </c>
      <c r="R17" s="125">
        <f t="shared" si="3"/>
        <v>23</v>
      </c>
      <c r="S17" s="125">
        <v>161</v>
      </c>
      <c r="T17" s="125">
        <f t="shared" si="4"/>
        <v>161</v>
      </c>
      <c r="U17" s="125">
        <v>-8</v>
      </c>
      <c r="V17" s="125">
        <f t="shared" si="5"/>
        <v>-8</v>
      </c>
      <c r="W17" s="67"/>
      <c r="X17" s="127" t="s">
        <v>579</v>
      </c>
      <c r="Y17" s="126" t="s">
        <v>188</v>
      </c>
      <c r="Z17" s="174"/>
      <c r="AA17" s="125">
        <v>1</v>
      </c>
      <c r="AB17" s="125">
        <v>23</v>
      </c>
      <c r="AC17" s="125">
        <f t="shared" si="6"/>
        <v>23</v>
      </c>
      <c r="AD17" s="125">
        <v>161</v>
      </c>
      <c r="AE17" s="125">
        <f t="shared" si="7"/>
        <v>161</v>
      </c>
      <c r="AF17" s="125">
        <v>-8</v>
      </c>
      <c r="AG17" s="125">
        <f t="shared" si="8"/>
        <v>-8</v>
      </c>
      <c r="AH17" s="67"/>
      <c r="AI17" s="127" t="s">
        <v>579</v>
      </c>
      <c r="AJ17" s="126" t="s">
        <v>188</v>
      </c>
      <c r="AK17" s="174"/>
      <c r="AL17" s="125">
        <v>1</v>
      </c>
      <c r="AM17" s="125">
        <v>23</v>
      </c>
      <c r="AN17" s="125">
        <f t="shared" si="9"/>
        <v>23</v>
      </c>
      <c r="AO17" s="125">
        <v>161</v>
      </c>
      <c r="AP17" s="125">
        <f t="shared" si="10"/>
        <v>161</v>
      </c>
      <c r="AQ17" s="125">
        <v>-8</v>
      </c>
      <c r="AR17" s="125">
        <f t="shared" si="11"/>
        <v>-8</v>
      </c>
    </row>
    <row r="18" spans="2:44" ht="15.75">
      <c r="B18" s="127" t="s">
        <v>346</v>
      </c>
      <c r="C18" s="126" t="s">
        <v>514</v>
      </c>
      <c r="D18" s="174"/>
      <c r="E18" s="125"/>
      <c r="F18" s="125">
        <v>23</v>
      </c>
      <c r="G18" s="125">
        <f t="shared" si="0"/>
        <v>0</v>
      </c>
      <c r="H18" s="125">
        <v>46</v>
      </c>
      <c r="I18" s="125">
        <f t="shared" si="1"/>
        <v>0</v>
      </c>
      <c r="J18" s="125">
        <v>-15</v>
      </c>
      <c r="K18" s="125">
        <f t="shared" si="2"/>
        <v>0</v>
      </c>
      <c r="L18" s="67"/>
      <c r="M18" s="127" t="s">
        <v>346</v>
      </c>
      <c r="N18" s="126" t="s">
        <v>188</v>
      </c>
      <c r="O18" s="174"/>
      <c r="P18" s="125">
        <v>5</v>
      </c>
      <c r="Q18" s="125">
        <v>23</v>
      </c>
      <c r="R18" s="125">
        <f t="shared" si="3"/>
        <v>115</v>
      </c>
      <c r="S18" s="125">
        <v>46</v>
      </c>
      <c r="T18" s="125">
        <f t="shared" si="4"/>
        <v>230</v>
      </c>
      <c r="U18" s="125">
        <v>-15</v>
      </c>
      <c r="V18" s="125">
        <f t="shared" si="5"/>
        <v>-75</v>
      </c>
      <c r="W18" s="67"/>
      <c r="X18" s="127" t="s">
        <v>346</v>
      </c>
      <c r="Y18" s="126" t="s">
        <v>188</v>
      </c>
      <c r="Z18" s="174"/>
      <c r="AA18" s="125">
        <v>5</v>
      </c>
      <c r="AB18" s="125">
        <v>23</v>
      </c>
      <c r="AC18" s="125">
        <f t="shared" si="6"/>
        <v>115</v>
      </c>
      <c r="AD18" s="125">
        <v>46</v>
      </c>
      <c r="AE18" s="125">
        <f t="shared" si="7"/>
        <v>230</v>
      </c>
      <c r="AF18" s="125">
        <v>-15</v>
      </c>
      <c r="AG18" s="125">
        <f t="shared" si="8"/>
        <v>-75</v>
      </c>
      <c r="AH18" s="67"/>
      <c r="AI18" s="127" t="s">
        <v>346</v>
      </c>
      <c r="AJ18" s="126" t="s">
        <v>188</v>
      </c>
      <c r="AK18" s="174"/>
      <c r="AL18" s="125">
        <v>5</v>
      </c>
      <c r="AM18" s="125">
        <v>23</v>
      </c>
      <c r="AN18" s="125">
        <f t="shared" si="9"/>
        <v>115</v>
      </c>
      <c r="AO18" s="125">
        <v>46</v>
      </c>
      <c r="AP18" s="125">
        <f t="shared" si="10"/>
        <v>230</v>
      </c>
      <c r="AQ18" s="125">
        <v>-15</v>
      </c>
      <c r="AR18" s="125">
        <f t="shared" si="11"/>
        <v>-75</v>
      </c>
    </row>
    <row r="19" spans="2:44" ht="15.75">
      <c r="B19" s="127" t="s">
        <v>351</v>
      </c>
      <c r="C19" s="126" t="s">
        <v>514</v>
      </c>
      <c r="D19" s="174"/>
      <c r="E19" s="125"/>
      <c r="F19" s="125">
        <v>32</v>
      </c>
      <c r="G19" s="125">
        <f t="shared" si="0"/>
        <v>0</v>
      </c>
      <c r="H19" s="125">
        <v>19</v>
      </c>
      <c r="I19" s="125">
        <f t="shared" si="1"/>
        <v>0</v>
      </c>
      <c r="J19" s="125">
        <v>8</v>
      </c>
      <c r="K19" s="125">
        <f t="shared" si="2"/>
        <v>0</v>
      </c>
      <c r="L19" s="67"/>
      <c r="M19" s="127" t="s">
        <v>351</v>
      </c>
      <c r="N19" s="126" t="s">
        <v>188</v>
      </c>
      <c r="O19" s="174"/>
      <c r="P19" s="125">
        <v>3</v>
      </c>
      <c r="Q19" s="125">
        <v>32</v>
      </c>
      <c r="R19" s="125">
        <f t="shared" si="3"/>
        <v>96</v>
      </c>
      <c r="S19" s="125">
        <v>19</v>
      </c>
      <c r="T19" s="125">
        <f t="shared" si="4"/>
        <v>57</v>
      </c>
      <c r="U19" s="125">
        <v>8</v>
      </c>
      <c r="V19" s="125">
        <f t="shared" si="5"/>
        <v>24</v>
      </c>
      <c r="W19" s="67"/>
      <c r="X19" s="127" t="s">
        <v>351</v>
      </c>
      <c r="Y19" s="126" t="s">
        <v>188</v>
      </c>
      <c r="Z19" s="174"/>
      <c r="AA19" s="125">
        <v>3</v>
      </c>
      <c r="AB19" s="125">
        <v>32</v>
      </c>
      <c r="AC19" s="125">
        <f t="shared" si="6"/>
        <v>96</v>
      </c>
      <c r="AD19" s="125">
        <v>19</v>
      </c>
      <c r="AE19" s="125">
        <f t="shared" si="7"/>
        <v>57</v>
      </c>
      <c r="AF19" s="125">
        <v>8</v>
      </c>
      <c r="AG19" s="125">
        <f t="shared" si="8"/>
        <v>24</v>
      </c>
      <c r="AH19" s="67"/>
      <c r="AI19" s="127" t="s">
        <v>351</v>
      </c>
      <c r="AJ19" s="126" t="s">
        <v>188</v>
      </c>
      <c r="AK19" s="174"/>
      <c r="AL19" s="125">
        <v>3</v>
      </c>
      <c r="AM19" s="125">
        <v>32</v>
      </c>
      <c r="AN19" s="125">
        <f t="shared" si="9"/>
        <v>96</v>
      </c>
      <c r="AO19" s="125">
        <v>19</v>
      </c>
      <c r="AP19" s="125">
        <f t="shared" si="10"/>
        <v>57</v>
      </c>
      <c r="AQ19" s="125">
        <v>8</v>
      </c>
      <c r="AR19" s="125">
        <f t="shared" si="11"/>
        <v>24</v>
      </c>
    </row>
    <row r="20" spans="2:44" ht="15.75">
      <c r="B20" s="127" t="s">
        <v>510</v>
      </c>
      <c r="C20" s="126" t="s">
        <v>514</v>
      </c>
      <c r="D20" s="174"/>
      <c r="E20" s="125"/>
      <c r="F20" s="125">
        <v>22.83</v>
      </c>
      <c r="G20" s="125">
        <f t="shared" si="0"/>
        <v>0</v>
      </c>
      <c r="H20" s="125">
        <v>183.48</v>
      </c>
      <c r="I20" s="125">
        <f t="shared" si="1"/>
        <v>0</v>
      </c>
      <c r="J20" s="125">
        <v>-1.26</v>
      </c>
      <c r="K20" s="125">
        <f t="shared" si="2"/>
        <v>0</v>
      </c>
      <c r="L20" s="67"/>
      <c r="M20" s="127" t="s">
        <v>510</v>
      </c>
      <c r="N20" s="126" t="s">
        <v>188</v>
      </c>
      <c r="O20" s="174"/>
      <c r="P20" s="125">
        <v>8.6</v>
      </c>
      <c r="Q20" s="125">
        <v>22.83</v>
      </c>
      <c r="R20" s="125">
        <f t="shared" si="3"/>
        <v>196.33799999999997</v>
      </c>
      <c r="S20" s="125">
        <v>183.48</v>
      </c>
      <c r="T20" s="125">
        <f t="shared" si="4"/>
        <v>1577.9279999999999</v>
      </c>
      <c r="U20" s="125">
        <v>-1.26</v>
      </c>
      <c r="V20" s="125">
        <f t="shared" si="5"/>
        <v>-10.836</v>
      </c>
      <c r="W20" s="67"/>
      <c r="X20" s="127" t="s">
        <v>510</v>
      </c>
      <c r="Y20" s="126" t="s">
        <v>188</v>
      </c>
      <c r="Z20" s="174"/>
      <c r="AA20" s="125">
        <v>8.6</v>
      </c>
      <c r="AB20" s="125">
        <v>22.83</v>
      </c>
      <c r="AC20" s="125">
        <f t="shared" si="6"/>
        <v>196.33799999999997</v>
      </c>
      <c r="AD20" s="125">
        <v>183.48</v>
      </c>
      <c r="AE20" s="125">
        <f t="shared" si="7"/>
        <v>1577.9279999999999</v>
      </c>
      <c r="AF20" s="125">
        <v>-1.26</v>
      </c>
      <c r="AG20" s="125">
        <f t="shared" si="8"/>
        <v>-10.836</v>
      </c>
      <c r="AH20" s="67"/>
      <c r="AI20" s="127" t="s">
        <v>510</v>
      </c>
      <c r="AJ20" s="126" t="s">
        <v>188</v>
      </c>
      <c r="AK20" s="174"/>
      <c r="AL20" s="125">
        <v>8.6</v>
      </c>
      <c r="AM20" s="125">
        <v>22.83</v>
      </c>
      <c r="AN20" s="125">
        <f t="shared" si="9"/>
        <v>196.33799999999997</v>
      </c>
      <c r="AO20" s="125">
        <v>183.48</v>
      </c>
      <c r="AP20" s="125">
        <f t="shared" si="10"/>
        <v>1577.9279999999999</v>
      </c>
      <c r="AQ20" s="125">
        <v>-1.26</v>
      </c>
      <c r="AR20" s="125">
        <f t="shared" si="11"/>
        <v>-10.836</v>
      </c>
    </row>
    <row r="21" spans="2:44" ht="15.75">
      <c r="B21" s="127" t="s">
        <v>511</v>
      </c>
      <c r="C21" s="126" t="s">
        <v>514</v>
      </c>
      <c r="D21" s="174"/>
      <c r="E21" s="125"/>
      <c r="F21" s="125">
        <v>22.83</v>
      </c>
      <c r="G21" s="125">
        <f t="shared" si="0"/>
        <v>0</v>
      </c>
      <c r="H21" s="125">
        <v>183.48</v>
      </c>
      <c r="I21" s="125">
        <f t="shared" si="1"/>
        <v>0</v>
      </c>
      <c r="J21" s="125">
        <v>10.35</v>
      </c>
      <c r="K21" s="125">
        <f t="shared" si="2"/>
        <v>0</v>
      </c>
      <c r="L21" s="67"/>
      <c r="M21" s="127" t="s">
        <v>511</v>
      </c>
      <c r="N21" s="126" t="s">
        <v>188</v>
      </c>
      <c r="O21" s="174"/>
      <c r="P21" s="125">
        <v>10</v>
      </c>
      <c r="Q21" s="125">
        <v>22.83</v>
      </c>
      <c r="R21" s="125">
        <f t="shared" si="3"/>
        <v>228.29999999999998</v>
      </c>
      <c r="S21" s="125">
        <v>183.48</v>
      </c>
      <c r="T21" s="125">
        <f t="shared" si="4"/>
        <v>1834.8</v>
      </c>
      <c r="U21" s="125">
        <v>10.35</v>
      </c>
      <c r="V21" s="125">
        <f t="shared" si="5"/>
        <v>103.5</v>
      </c>
      <c r="W21" s="67"/>
      <c r="X21" s="127" t="s">
        <v>511</v>
      </c>
      <c r="Y21" s="126" t="s">
        <v>188</v>
      </c>
      <c r="Z21" s="174"/>
      <c r="AA21" s="125">
        <v>10</v>
      </c>
      <c r="AB21" s="125">
        <v>22.83</v>
      </c>
      <c r="AC21" s="125">
        <f t="shared" si="6"/>
        <v>228.29999999999998</v>
      </c>
      <c r="AD21" s="125">
        <v>183.48</v>
      </c>
      <c r="AE21" s="125">
        <f t="shared" si="7"/>
        <v>1834.8</v>
      </c>
      <c r="AF21" s="125">
        <v>10.35</v>
      </c>
      <c r="AG21" s="125">
        <f t="shared" si="8"/>
        <v>103.5</v>
      </c>
      <c r="AH21" s="67"/>
      <c r="AI21" s="127" t="s">
        <v>511</v>
      </c>
      <c r="AJ21" s="126" t="s">
        <v>188</v>
      </c>
      <c r="AK21" s="174"/>
      <c r="AL21" s="125">
        <v>10</v>
      </c>
      <c r="AM21" s="125">
        <v>22.83</v>
      </c>
      <c r="AN21" s="125">
        <f t="shared" si="9"/>
        <v>228.29999999999998</v>
      </c>
      <c r="AO21" s="125">
        <v>183.48</v>
      </c>
      <c r="AP21" s="125">
        <f t="shared" si="10"/>
        <v>1834.8</v>
      </c>
      <c r="AQ21" s="125">
        <v>10.35</v>
      </c>
      <c r="AR21" s="125">
        <f t="shared" si="11"/>
        <v>103.5</v>
      </c>
    </row>
    <row r="22" spans="2:44" ht="15.75">
      <c r="B22" s="127" t="s">
        <v>512</v>
      </c>
      <c r="C22" s="126" t="s">
        <v>514</v>
      </c>
      <c r="D22" s="174"/>
      <c r="E22" s="125"/>
      <c r="F22" s="125">
        <v>21.33</v>
      </c>
      <c r="G22" s="125">
        <f t="shared" si="0"/>
        <v>0</v>
      </c>
      <c r="H22" s="125">
        <v>116</v>
      </c>
      <c r="I22" s="125">
        <f t="shared" si="1"/>
        <v>0</v>
      </c>
      <c r="J22" s="125">
        <v>-11</v>
      </c>
      <c r="K22" s="125">
        <f t="shared" si="2"/>
        <v>0</v>
      </c>
      <c r="L22" s="67"/>
      <c r="M22" s="127" t="s">
        <v>512</v>
      </c>
      <c r="N22" s="126" t="s">
        <v>188</v>
      </c>
      <c r="O22" s="174"/>
      <c r="P22" s="125">
        <v>2.6</v>
      </c>
      <c r="Q22" s="125">
        <v>21.33</v>
      </c>
      <c r="R22" s="125">
        <f t="shared" si="3"/>
        <v>55.457999999999998</v>
      </c>
      <c r="S22" s="125">
        <v>116</v>
      </c>
      <c r="T22" s="125">
        <f t="shared" si="4"/>
        <v>301.60000000000002</v>
      </c>
      <c r="U22" s="125">
        <v>-11</v>
      </c>
      <c r="V22" s="125">
        <f t="shared" si="5"/>
        <v>-28.6</v>
      </c>
      <c r="W22" s="67"/>
      <c r="X22" s="127" t="s">
        <v>512</v>
      </c>
      <c r="Y22" s="126" t="s">
        <v>188</v>
      </c>
      <c r="Z22" s="174"/>
      <c r="AA22" s="125">
        <v>2.6</v>
      </c>
      <c r="AB22" s="125">
        <v>21.33</v>
      </c>
      <c r="AC22" s="125">
        <f t="shared" si="6"/>
        <v>55.457999999999998</v>
      </c>
      <c r="AD22" s="125">
        <v>116</v>
      </c>
      <c r="AE22" s="125">
        <f t="shared" si="7"/>
        <v>301.60000000000002</v>
      </c>
      <c r="AF22" s="125">
        <v>-11</v>
      </c>
      <c r="AG22" s="125">
        <f t="shared" si="8"/>
        <v>-28.6</v>
      </c>
      <c r="AH22" s="67"/>
      <c r="AI22" s="127" t="s">
        <v>512</v>
      </c>
      <c r="AJ22" s="126" t="s">
        <v>188</v>
      </c>
      <c r="AK22" s="174"/>
      <c r="AL22" s="125">
        <v>2.6</v>
      </c>
      <c r="AM22" s="125">
        <v>21.33</v>
      </c>
      <c r="AN22" s="125">
        <f t="shared" si="9"/>
        <v>55.457999999999998</v>
      </c>
      <c r="AO22" s="125">
        <v>116</v>
      </c>
      <c r="AP22" s="125">
        <f t="shared" si="10"/>
        <v>301.60000000000002</v>
      </c>
      <c r="AQ22" s="125">
        <v>-11</v>
      </c>
      <c r="AR22" s="125">
        <f t="shared" si="11"/>
        <v>-28.6</v>
      </c>
    </row>
    <row r="23" spans="2:44" ht="15.75">
      <c r="B23" s="127" t="s">
        <v>513</v>
      </c>
      <c r="C23" s="126" t="s">
        <v>514</v>
      </c>
      <c r="D23" s="174"/>
      <c r="E23" s="125"/>
      <c r="F23" s="125">
        <v>21.33</v>
      </c>
      <c r="G23" s="125">
        <f t="shared" si="0"/>
        <v>0</v>
      </c>
      <c r="H23" s="125">
        <v>127.33</v>
      </c>
      <c r="I23" s="125">
        <f t="shared" si="1"/>
        <v>0</v>
      </c>
      <c r="J23" s="125">
        <v>-15</v>
      </c>
      <c r="K23" s="125">
        <f t="shared" si="2"/>
        <v>0</v>
      </c>
      <c r="L23" s="67"/>
      <c r="M23" s="127" t="s">
        <v>513</v>
      </c>
      <c r="N23" s="126" t="s">
        <v>188</v>
      </c>
      <c r="O23" s="174"/>
      <c r="P23" s="125">
        <v>2.6</v>
      </c>
      <c r="Q23" s="125">
        <v>21.33</v>
      </c>
      <c r="R23" s="125">
        <f t="shared" si="3"/>
        <v>55.457999999999998</v>
      </c>
      <c r="S23" s="125">
        <v>127.33</v>
      </c>
      <c r="T23" s="125">
        <f t="shared" si="4"/>
        <v>331.05799999999999</v>
      </c>
      <c r="U23" s="125">
        <v>-15</v>
      </c>
      <c r="V23" s="125">
        <f t="shared" si="5"/>
        <v>-39</v>
      </c>
      <c r="W23" s="67"/>
      <c r="X23" s="127" t="s">
        <v>513</v>
      </c>
      <c r="Y23" s="126" t="s">
        <v>188</v>
      </c>
      <c r="Z23" s="174"/>
      <c r="AA23" s="125">
        <v>2.6</v>
      </c>
      <c r="AB23" s="125">
        <v>21.33</v>
      </c>
      <c r="AC23" s="125">
        <f t="shared" si="6"/>
        <v>55.457999999999998</v>
      </c>
      <c r="AD23" s="125">
        <v>127.33</v>
      </c>
      <c r="AE23" s="125">
        <f t="shared" si="7"/>
        <v>331.05799999999999</v>
      </c>
      <c r="AF23" s="125">
        <v>-15</v>
      </c>
      <c r="AG23" s="125">
        <f t="shared" si="8"/>
        <v>-39</v>
      </c>
      <c r="AH23" s="67"/>
      <c r="AI23" s="127" t="s">
        <v>513</v>
      </c>
      <c r="AJ23" s="126" t="s">
        <v>188</v>
      </c>
      <c r="AK23" s="174"/>
      <c r="AL23" s="125">
        <v>2.6</v>
      </c>
      <c r="AM23" s="125">
        <v>21.33</v>
      </c>
      <c r="AN23" s="125">
        <f t="shared" si="9"/>
        <v>55.457999999999998</v>
      </c>
      <c r="AO23" s="125">
        <v>127.33</v>
      </c>
      <c r="AP23" s="125">
        <f t="shared" si="10"/>
        <v>331.05799999999999</v>
      </c>
      <c r="AQ23" s="125">
        <v>-15</v>
      </c>
      <c r="AR23" s="125">
        <f t="shared" si="11"/>
        <v>-39</v>
      </c>
    </row>
    <row r="24" spans="2:44" ht="15.75">
      <c r="B24" s="127" t="s">
        <v>447</v>
      </c>
      <c r="C24" s="126" t="s">
        <v>514</v>
      </c>
      <c r="D24" s="174"/>
      <c r="E24" s="125"/>
      <c r="F24" s="125">
        <v>23</v>
      </c>
      <c r="G24" s="125">
        <f t="shared" si="0"/>
        <v>0</v>
      </c>
      <c r="H24" s="125">
        <v>76</v>
      </c>
      <c r="I24" s="125">
        <f t="shared" si="1"/>
        <v>0</v>
      </c>
      <c r="J24" s="125">
        <v>16</v>
      </c>
      <c r="K24" s="125">
        <f t="shared" si="2"/>
        <v>0</v>
      </c>
      <c r="L24" s="67"/>
      <c r="M24" s="127" t="s">
        <v>447</v>
      </c>
      <c r="N24" s="126" t="s">
        <v>188</v>
      </c>
      <c r="O24" s="174"/>
      <c r="P24" s="125">
        <v>1</v>
      </c>
      <c r="Q24" s="125">
        <v>23</v>
      </c>
      <c r="R24" s="125">
        <f t="shared" si="3"/>
        <v>23</v>
      </c>
      <c r="S24" s="125">
        <v>76</v>
      </c>
      <c r="T24" s="125">
        <f t="shared" si="4"/>
        <v>76</v>
      </c>
      <c r="U24" s="125">
        <v>16</v>
      </c>
      <c r="V24" s="125">
        <f t="shared" si="5"/>
        <v>16</v>
      </c>
      <c r="W24" s="67"/>
      <c r="X24" s="127" t="s">
        <v>447</v>
      </c>
      <c r="Y24" s="126" t="s">
        <v>188</v>
      </c>
      <c r="Z24" s="174"/>
      <c r="AA24" s="125">
        <v>1</v>
      </c>
      <c r="AB24" s="125">
        <v>23</v>
      </c>
      <c r="AC24" s="125">
        <f t="shared" si="6"/>
        <v>23</v>
      </c>
      <c r="AD24" s="125">
        <v>76</v>
      </c>
      <c r="AE24" s="125">
        <f t="shared" si="7"/>
        <v>76</v>
      </c>
      <c r="AF24" s="125">
        <v>16</v>
      </c>
      <c r="AG24" s="125">
        <f t="shared" si="8"/>
        <v>16</v>
      </c>
      <c r="AH24" s="67"/>
      <c r="AI24" s="127" t="s">
        <v>447</v>
      </c>
      <c r="AJ24" s="126" t="s">
        <v>188</v>
      </c>
      <c r="AK24" s="174"/>
      <c r="AL24" s="125">
        <v>1</v>
      </c>
      <c r="AM24" s="125">
        <v>23</v>
      </c>
      <c r="AN24" s="125">
        <f t="shared" si="9"/>
        <v>23</v>
      </c>
      <c r="AO24" s="125">
        <v>76</v>
      </c>
      <c r="AP24" s="125">
        <f t="shared" si="10"/>
        <v>76</v>
      </c>
      <c r="AQ24" s="125">
        <v>16</v>
      </c>
      <c r="AR24" s="125">
        <f t="shared" si="11"/>
        <v>16</v>
      </c>
    </row>
    <row r="25" spans="2:44" ht="15.75">
      <c r="B25" s="127" t="s">
        <v>578</v>
      </c>
      <c r="C25" s="126" t="s">
        <v>514</v>
      </c>
      <c r="D25" s="174"/>
      <c r="E25" s="125"/>
      <c r="F25" s="125">
        <v>23</v>
      </c>
      <c r="G25" s="125">
        <f t="shared" si="0"/>
        <v>0</v>
      </c>
      <c r="H25" s="125">
        <v>161</v>
      </c>
      <c r="I25" s="125">
        <f t="shared" si="1"/>
        <v>0</v>
      </c>
      <c r="J25" s="125">
        <v>-8</v>
      </c>
      <c r="K25" s="125">
        <f t="shared" si="2"/>
        <v>0</v>
      </c>
      <c r="L25" s="67"/>
      <c r="M25" s="127" t="s">
        <v>578</v>
      </c>
      <c r="N25" s="126" t="s">
        <v>188</v>
      </c>
      <c r="O25" s="174"/>
      <c r="P25" s="125">
        <v>1</v>
      </c>
      <c r="Q25" s="125">
        <v>23</v>
      </c>
      <c r="R25" s="125">
        <f t="shared" si="3"/>
        <v>23</v>
      </c>
      <c r="S25" s="125">
        <v>161</v>
      </c>
      <c r="T25" s="125">
        <f t="shared" si="4"/>
        <v>161</v>
      </c>
      <c r="U25" s="125">
        <v>-8</v>
      </c>
      <c r="V25" s="125">
        <f t="shared" si="5"/>
        <v>-8</v>
      </c>
      <c r="W25" s="67"/>
      <c r="X25" s="127" t="s">
        <v>578</v>
      </c>
      <c r="Y25" s="126" t="s">
        <v>188</v>
      </c>
      <c r="Z25" s="174"/>
      <c r="AA25" s="125">
        <v>1</v>
      </c>
      <c r="AB25" s="125">
        <v>23</v>
      </c>
      <c r="AC25" s="125">
        <f t="shared" si="6"/>
        <v>23</v>
      </c>
      <c r="AD25" s="125">
        <v>161</v>
      </c>
      <c r="AE25" s="125">
        <f t="shared" si="7"/>
        <v>161</v>
      </c>
      <c r="AF25" s="125">
        <v>-8</v>
      </c>
      <c r="AG25" s="125">
        <f t="shared" si="8"/>
        <v>-8</v>
      </c>
      <c r="AH25" s="67"/>
      <c r="AI25" s="127" t="s">
        <v>578</v>
      </c>
      <c r="AJ25" s="126" t="s">
        <v>188</v>
      </c>
      <c r="AK25" s="174"/>
      <c r="AL25" s="125">
        <v>1</v>
      </c>
      <c r="AM25" s="125">
        <v>23</v>
      </c>
      <c r="AN25" s="125">
        <f t="shared" si="9"/>
        <v>23</v>
      </c>
      <c r="AO25" s="125">
        <v>161</v>
      </c>
      <c r="AP25" s="125">
        <f t="shared" si="10"/>
        <v>161</v>
      </c>
      <c r="AQ25" s="125">
        <v>-8</v>
      </c>
      <c r="AR25" s="125">
        <f t="shared" si="11"/>
        <v>-8</v>
      </c>
    </row>
    <row r="26" spans="2:44" ht="15.75">
      <c r="B26" s="127" t="s">
        <v>448</v>
      </c>
      <c r="C26" s="126" t="s">
        <v>514</v>
      </c>
      <c r="D26" s="174"/>
      <c r="E26" s="125"/>
      <c r="F26" s="125">
        <v>32</v>
      </c>
      <c r="G26" s="125">
        <f t="shared" si="0"/>
        <v>0</v>
      </c>
      <c r="H26" s="125">
        <v>33</v>
      </c>
      <c r="I26" s="125">
        <f t="shared" si="1"/>
        <v>0</v>
      </c>
      <c r="J26" s="125">
        <v>14</v>
      </c>
      <c r="K26" s="125">
        <f t="shared" si="2"/>
        <v>0</v>
      </c>
      <c r="L26" s="67"/>
      <c r="M26" s="127" t="s">
        <v>448</v>
      </c>
      <c r="N26" s="126" t="s">
        <v>188</v>
      </c>
      <c r="O26" s="174"/>
      <c r="P26" s="125">
        <v>2</v>
      </c>
      <c r="Q26" s="125">
        <v>32</v>
      </c>
      <c r="R26" s="125">
        <f t="shared" si="3"/>
        <v>64</v>
      </c>
      <c r="S26" s="125">
        <v>33</v>
      </c>
      <c r="T26" s="125">
        <f t="shared" si="4"/>
        <v>66</v>
      </c>
      <c r="U26" s="125">
        <v>14</v>
      </c>
      <c r="V26" s="125">
        <f t="shared" si="5"/>
        <v>28</v>
      </c>
      <c r="W26" s="67"/>
      <c r="X26" s="127" t="s">
        <v>448</v>
      </c>
      <c r="Y26" s="126" t="s">
        <v>188</v>
      </c>
      <c r="Z26" s="174"/>
      <c r="AA26" s="125">
        <v>2</v>
      </c>
      <c r="AB26" s="125">
        <v>32</v>
      </c>
      <c r="AC26" s="125">
        <f t="shared" si="6"/>
        <v>64</v>
      </c>
      <c r="AD26" s="125">
        <v>33</v>
      </c>
      <c r="AE26" s="125">
        <f t="shared" si="7"/>
        <v>66</v>
      </c>
      <c r="AF26" s="125">
        <v>14</v>
      </c>
      <c r="AG26" s="125">
        <f t="shared" si="8"/>
        <v>28</v>
      </c>
      <c r="AH26" s="67"/>
      <c r="AI26" s="127" t="s">
        <v>448</v>
      </c>
      <c r="AJ26" s="126" t="s">
        <v>188</v>
      </c>
      <c r="AK26" s="174"/>
      <c r="AL26" s="125">
        <v>2</v>
      </c>
      <c r="AM26" s="125">
        <v>32</v>
      </c>
      <c r="AN26" s="125">
        <f t="shared" si="9"/>
        <v>64</v>
      </c>
      <c r="AO26" s="125">
        <v>33</v>
      </c>
      <c r="AP26" s="125">
        <f t="shared" si="10"/>
        <v>66</v>
      </c>
      <c r="AQ26" s="125">
        <v>14</v>
      </c>
      <c r="AR26" s="125">
        <f t="shared" si="11"/>
        <v>28</v>
      </c>
    </row>
    <row r="27" spans="2:44" ht="15.75">
      <c r="B27" s="127" t="s">
        <v>181</v>
      </c>
      <c r="C27" s="126" t="s">
        <v>514</v>
      </c>
      <c r="D27" s="174"/>
      <c r="E27" s="125"/>
      <c r="F27" s="125">
        <v>23</v>
      </c>
      <c r="G27" s="125">
        <f t="shared" si="0"/>
        <v>0</v>
      </c>
      <c r="H27" s="125">
        <v>69</v>
      </c>
      <c r="I27" s="125">
        <f t="shared" si="1"/>
        <v>0</v>
      </c>
      <c r="J27" s="125">
        <v>-18</v>
      </c>
      <c r="K27" s="125">
        <f t="shared" si="2"/>
        <v>0</v>
      </c>
      <c r="L27" s="67"/>
      <c r="M27" s="127" t="s">
        <v>181</v>
      </c>
      <c r="N27" s="126" t="s">
        <v>188</v>
      </c>
      <c r="O27" s="174"/>
      <c r="P27" s="125">
        <v>2</v>
      </c>
      <c r="Q27" s="125">
        <v>23</v>
      </c>
      <c r="R27" s="125">
        <f t="shared" si="3"/>
        <v>46</v>
      </c>
      <c r="S27" s="125">
        <v>69</v>
      </c>
      <c r="T27" s="125">
        <f t="shared" si="4"/>
        <v>138</v>
      </c>
      <c r="U27" s="125">
        <v>-18</v>
      </c>
      <c r="V27" s="125">
        <f t="shared" si="5"/>
        <v>-36</v>
      </c>
      <c r="W27" s="67"/>
      <c r="X27" s="127" t="s">
        <v>181</v>
      </c>
      <c r="Y27" s="126" t="s">
        <v>188</v>
      </c>
      <c r="Z27" s="174"/>
      <c r="AA27" s="125">
        <v>2</v>
      </c>
      <c r="AB27" s="125">
        <v>23</v>
      </c>
      <c r="AC27" s="125">
        <f t="shared" si="6"/>
        <v>46</v>
      </c>
      <c r="AD27" s="125">
        <v>69</v>
      </c>
      <c r="AE27" s="125">
        <f t="shared" si="7"/>
        <v>138</v>
      </c>
      <c r="AF27" s="125">
        <v>-18</v>
      </c>
      <c r="AG27" s="125">
        <f t="shared" si="8"/>
        <v>-36</v>
      </c>
      <c r="AH27" s="67"/>
      <c r="AI27" s="127" t="s">
        <v>181</v>
      </c>
      <c r="AJ27" s="126" t="s">
        <v>188</v>
      </c>
      <c r="AK27" s="174"/>
      <c r="AL27" s="125">
        <v>2</v>
      </c>
      <c r="AM27" s="125">
        <v>23</v>
      </c>
      <c r="AN27" s="125">
        <f t="shared" si="9"/>
        <v>46</v>
      </c>
      <c r="AO27" s="125">
        <v>69</v>
      </c>
      <c r="AP27" s="125">
        <f t="shared" si="10"/>
        <v>138</v>
      </c>
      <c r="AQ27" s="125">
        <v>-18</v>
      </c>
      <c r="AR27" s="125">
        <f t="shared" si="11"/>
        <v>-36</v>
      </c>
    </row>
    <row r="28" spans="2:44" ht="15.75">
      <c r="B28" s="127" t="s">
        <v>592</v>
      </c>
      <c r="C28" s="126" t="s">
        <v>514</v>
      </c>
      <c r="D28" s="174"/>
      <c r="E28" s="125"/>
      <c r="F28" s="125">
        <v>60</v>
      </c>
      <c r="G28" s="125">
        <f t="shared" si="0"/>
        <v>0</v>
      </c>
      <c r="H28" s="125">
        <v>92</v>
      </c>
      <c r="I28" s="125">
        <f t="shared" si="1"/>
        <v>0</v>
      </c>
      <c r="J28" s="125">
        <v>-12</v>
      </c>
      <c r="K28" s="125">
        <f t="shared" si="2"/>
        <v>0</v>
      </c>
      <c r="L28" s="67"/>
      <c r="M28" s="127" t="s">
        <v>592</v>
      </c>
      <c r="N28" s="126" t="s">
        <v>188</v>
      </c>
      <c r="O28" s="174"/>
      <c r="P28" s="125">
        <v>1</v>
      </c>
      <c r="Q28" s="125">
        <v>60</v>
      </c>
      <c r="R28" s="125">
        <f t="shared" si="3"/>
        <v>60</v>
      </c>
      <c r="S28" s="125">
        <v>92</v>
      </c>
      <c r="T28" s="125">
        <f t="shared" si="4"/>
        <v>92</v>
      </c>
      <c r="U28" s="125">
        <v>-12</v>
      </c>
      <c r="V28" s="125">
        <f t="shared" si="5"/>
        <v>-12</v>
      </c>
      <c r="W28" s="67"/>
      <c r="X28" s="127" t="s">
        <v>592</v>
      </c>
      <c r="Y28" s="126" t="s">
        <v>188</v>
      </c>
      <c r="Z28" s="174"/>
      <c r="AA28" s="125">
        <v>1</v>
      </c>
      <c r="AB28" s="125">
        <v>60</v>
      </c>
      <c r="AC28" s="125">
        <f t="shared" si="6"/>
        <v>60</v>
      </c>
      <c r="AD28" s="125">
        <v>92</v>
      </c>
      <c r="AE28" s="125">
        <f t="shared" si="7"/>
        <v>92</v>
      </c>
      <c r="AF28" s="125">
        <v>-12</v>
      </c>
      <c r="AG28" s="125">
        <f t="shared" si="8"/>
        <v>-12</v>
      </c>
      <c r="AH28" s="67"/>
      <c r="AI28" s="127" t="s">
        <v>592</v>
      </c>
      <c r="AJ28" s="126" t="s">
        <v>188</v>
      </c>
      <c r="AK28" s="174"/>
      <c r="AL28" s="125">
        <v>1</v>
      </c>
      <c r="AM28" s="125">
        <v>60</v>
      </c>
      <c r="AN28" s="125">
        <f t="shared" si="9"/>
        <v>60</v>
      </c>
      <c r="AO28" s="125">
        <v>92</v>
      </c>
      <c r="AP28" s="125">
        <f t="shared" si="10"/>
        <v>92</v>
      </c>
      <c r="AQ28" s="125">
        <v>-12</v>
      </c>
      <c r="AR28" s="125">
        <f t="shared" si="11"/>
        <v>-12</v>
      </c>
    </row>
    <row r="29" spans="2:44" ht="15.75">
      <c r="B29" s="127" t="s">
        <v>593</v>
      </c>
      <c r="C29" s="126" t="s">
        <v>514</v>
      </c>
      <c r="D29" s="174"/>
      <c r="E29" s="125"/>
      <c r="F29" s="125">
        <v>32</v>
      </c>
      <c r="G29" s="125">
        <f t="shared" si="0"/>
        <v>0</v>
      </c>
      <c r="H29" s="125">
        <v>158</v>
      </c>
      <c r="I29" s="125">
        <f t="shared" si="1"/>
        <v>0</v>
      </c>
      <c r="J29" s="125">
        <v>-16</v>
      </c>
      <c r="K29" s="125">
        <f t="shared" si="2"/>
        <v>0</v>
      </c>
      <c r="L29" s="67"/>
      <c r="M29" s="127" t="s">
        <v>593</v>
      </c>
      <c r="N29" s="126" t="s">
        <v>188</v>
      </c>
      <c r="O29" s="174"/>
      <c r="P29" s="125">
        <v>1</v>
      </c>
      <c r="Q29" s="125">
        <v>32</v>
      </c>
      <c r="R29" s="125">
        <f t="shared" si="3"/>
        <v>32</v>
      </c>
      <c r="S29" s="125">
        <v>158</v>
      </c>
      <c r="T29" s="125">
        <f t="shared" si="4"/>
        <v>158</v>
      </c>
      <c r="U29" s="125">
        <v>-16</v>
      </c>
      <c r="V29" s="125">
        <f t="shared" si="5"/>
        <v>-16</v>
      </c>
      <c r="W29" s="67"/>
      <c r="X29" s="127" t="s">
        <v>593</v>
      </c>
      <c r="Y29" s="126" t="s">
        <v>188</v>
      </c>
      <c r="Z29" s="174"/>
      <c r="AA29" s="125">
        <v>1</v>
      </c>
      <c r="AB29" s="125">
        <v>32</v>
      </c>
      <c r="AC29" s="125">
        <f t="shared" si="6"/>
        <v>32</v>
      </c>
      <c r="AD29" s="125">
        <v>158</v>
      </c>
      <c r="AE29" s="125">
        <f t="shared" si="7"/>
        <v>158</v>
      </c>
      <c r="AF29" s="125">
        <v>-16</v>
      </c>
      <c r="AG29" s="125">
        <f t="shared" si="8"/>
        <v>-16</v>
      </c>
      <c r="AH29" s="67"/>
      <c r="AI29" s="127" t="s">
        <v>593</v>
      </c>
      <c r="AJ29" s="126" t="s">
        <v>188</v>
      </c>
      <c r="AK29" s="174"/>
      <c r="AL29" s="125">
        <v>1</v>
      </c>
      <c r="AM29" s="125">
        <v>32</v>
      </c>
      <c r="AN29" s="125">
        <f t="shared" si="9"/>
        <v>32</v>
      </c>
      <c r="AO29" s="125">
        <v>158</v>
      </c>
      <c r="AP29" s="125">
        <f t="shared" si="10"/>
        <v>158</v>
      </c>
      <c r="AQ29" s="125">
        <v>-16</v>
      </c>
      <c r="AR29" s="125">
        <f t="shared" si="11"/>
        <v>-16</v>
      </c>
    </row>
    <row r="30" spans="2:44" ht="15.75">
      <c r="B30" s="127"/>
      <c r="C30" s="126"/>
      <c r="D30" s="174"/>
      <c r="E30" s="125"/>
      <c r="F30" s="125"/>
      <c r="G30" s="125"/>
      <c r="H30" s="125"/>
      <c r="I30" s="125"/>
      <c r="J30" s="125"/>
      <c r="K30" s="125"/>
      <c r="L30" s="67"/>
      <c r="M30" s="127"/>
      <c r="N30" s="126"/>
      <c r="O30" s="174"/>
      <c r="P30" s="125"/>
      <c r="Q30" s="125"/>
      <c r="R30" s="125"/>
      <c r="S30" s="125"/>
      <c r="T30" s="125"/>
      <c r="U30" s="125"/>
      <c r="V30" s="125"/>
      <c r="W30" s="67"/>
      <c r="X30" s="127"/>
      <c r="Y30" s="126"/>
      <c r="Z30" s="174"/>
      <c r="AA30" s="125"/>
      <c r="AB30" s="125"/>
      <c r="AC30" s="125"/>
      <c r="AD30" s="125"/>
      <c r="AE30" s="125"/>
      <c r="AF30" s="125"/>
      <c r="AG30" s="125"/>
      <c r="AH30" s="67"/>
      <c r="AI30" s="127"/>
      <c r="AJ30" s="126"/>
      <c r="AK30" s="174"/>
      <c r="AL30" s="125"/>
      <c r="AM30" s="125"/>
      <c r="AN30" s="125"/>
      <c r="AO30" s="125"/>
      <c r="AP30" s="125"/>
      <c r="AQ30" s="125"/>
      <c r="AR30" s="125"/>
    </row>
    <row r="31" spans="2:44" ht="15.75">
      <c r="B31" s="127"/>
      <c r="C31" s="126"/>
      <c r="D31" s="174"/>
      <c r="E31" s="125"/>
      <c r="F31" s="125"/>
      <c r="G31" s="125"/>
      <c r="H31" s="125"/>
      <c r="I31" s="125"/>
      <c r="J31" s="125"/>
      <c r="K31" s="125"/>
      <c r="L31" s="67"/>
      <c r="M31" s="127"/>
      <c r="N31" s="126"/>
      <c r="O31" s="174"/>
      <c r="P31" s="125"/>
      <c r="Q31" s="125"/>
      <c r="R31" s="125"/>
      <c r="S31" s="125"/>
      <c r="T31" s="125"/>
      <c r="U31" s="125"/>
      <c r="V31" s="125"/>
      <c r="W31" s="67"/>
      <c r="X31" s="127"/>
      <c r="Y31" s="126"/>
      <c r="Z31" s="174"/>
      <c r="AA31" s="125"/>
      <c r="AB31" s="125"/>
      <c r="AC31" s="125"/>
      <c r="AD31" s="125"/>
      <c r="AE31" s="125"/>
      <c r="AF31" s="125"/>
      <c r="AG31" s="125"/>
      <c r="AH31" s="67"/>
      <c r="AI31" s="127"/>
      <c r="AJ31" s="126"/>
      <c r="AK31" s="174"/>
      <c r="AL31" s="125"/>
      <c r="AM31" s="125"/>
      <c r="AN31" s="125"/>
      <c r="AO31" s="125"/>
      <c r="AP31" s="125"/>
      <c r="AQ31" s="125"/>
      <c r="AR31" s="125"/>
    </row>
    <row r="32" spans="2:44" ht="15.75">
      <c r="B32" s="127"/>
      <c r="C32" s="126"/>
      <c r="D32" s="174"/>
      <c r="E32" s="125"/>
      <c r="F32" s="125"/>
      <c r="G32" s="125"/>
      <c r="H32" s="125"/>
      <c r="I32" s="125"/>
      <c r="J32" s="125"/>
      <c r="K32" s="125"/>
      <c r="L32" s="67"/>
      <c r="M32" s="127"/>
      <c r="N32" s="126"/>
      <c r="O32" s="174"/>
      <c r="P32" s="125"/>
      <c r="Q32" s="125"/>
      <c r="R32" s="125"/>
      <c r="S32" s="125"/>
      <c r="T32" s="125"/>
      <c r="U32" s="125"/>
      <c r="V32" s="125"/>
      <c r="W32" s="67"/>
      <c r="X32" s="127"/>
      <c r="Y32" s="126"/>
      <c r="Z32" s="174"/>
      <c r="AA32" s="125"/>
      <c r="AB32" s="125"/>
      <c r="AC32" s="125"/>
      <c r="AD32" s="125"/>
      <c r="AE32" s="125"/>
      <c r="AF32" s="125"/>
      <c r="AG32" s="125"/>
      <c r="AH32" s="67"/>
      <c r="AI32" s="127"/>
      <c r="AJ32" s="126"/>
      <c r="AK32" s="174"/>
      <c r="AL32" s="125"/>
      <c r="AM32" s="125"/>
      <c r="AN32" s="125"/>
      <c r="AO32" s="125"/>
      <c r="AP32" s="125"/>
      <c r="AQ32" s="125"/>
      <c r="AR32" s="125"/>
    </row>
    <row r="33" spans="2:44" ht="15.75">
      <c r="B33" s="127"/>
      <c r="C33" s="126"/>
      <c r="D33" s="174"/>
      <c r="E33" s="125"/>
      <c r="F33" s="125"/>
      <c r="G33" s="125"/>
      <c r="H33" s="125"/>
      <c r="I33" s="125"/>
      <c r="J33" s="125"/>
      <c r="K33" s="125"/>
      <c r="L33" s="67"/>
      <c r="M33" s="127"/>
      <c r="N33" s="126"/>
      <c r="O33" s="174"/>
      <c r="P33" s="125"/>
      <c r="Q33" s="125"/>
      <c r="R33" s="125"/>
      <c r="S33" s="125"/>
      <c r="T33" s="125"/>
      <c r="U33" s="125"/>
      <c r="V33" s="125"/>
      <c r="W33" s="67"/>
      <c r="X33" s="127"/>
      <c r="Y33" s="126"/>
      <c r="Z33" s="174"/>
      <c r="AA33" s="125"/>
      <c r="AB33" s="125"/>
      <c r="AC33" s="125"/>
      <c r="AD33" s="125"/>
      <c r="AE33" s="125"/>
      <c r="AF33" s="125"/>
      <c r="AG33" s="125"/>
      <c r="AH33" s="67"/>
      <c r="AI33" s="127"/>
      <c r="AJ33" s="126"/>
      <c r="AK33" s="174"/>
      <c r="AL33" s="125"/>
      <c r="AM33" s="125"/>
      <c r="AN33" s="125"/>
      <c r="AO33" s="125"/>
      <c r="AP33" s="125"/>
      <c r="AQ33" s="125"/>
      <c r="AR33" s="125"/>
    </row>
    <row r="34" spans="2:44" ht="15.75">
      <c r="B34" s="127"/>
      <c r="C34" s="126"/>
      <c r="D34" s="174"/>
      <c r="E34" s="125"/>
      <c r="F34" s="125"/>
      <c r="G34" s="125"/>
      <c r="H34" s="125"/>
      <c r="I34" s="125"/>
      <c r="J34" s="125"/>
      <c r="K34" s="125"/>
      <c r="L34" s="67"/>
      <c r="M34" s="127"/>
      <c r="N34" s="126"/>
      <c r="O34" s="174"/>
      <c r="P34" s="125"/>
      <c r="Q34" s="125"/>
      <c r="R34" s="125"/>
      <c r="S34" s="125"/>
      <c r="T34" s="125"/>
      <c r="U34" s="125"/>
      <c r="V34" s="125"/>
      <c r="W34" s="67"/>
      <c r="X34" s="127"/>
      <c r="Y34" s="126"/>
      <c r="Z34" s="174"/>
      <c r="AA34" s="125"/>
      <c r="AB34" s="125"/>
      <c r="AC34" s="125"/>
      <c r="AD34" s="125"/>
      <c r="AE34" s="125"/>
      <c r="AF34" s="125"/>
      <c r="AG34" s="125"/>
      <c r="AH34" s="67"/>
      <c r="AI34" s="127"/>
      <c r="AJ34" s="126"/>
      <c r="AK34" s="174"/>
      <c r="AL34" s="125"/>
      <c r="AM34" s="125"/>
      <c r="AN34" s="125"/>
      <c r="AO34" s="125"/>
      <c r="AP34" s="125"/>
      <c r="AQ34" s="125"/>
      <c r="AR34" s="125"/>
    </row>
    <row r="35" spans="2:44" ht="15.75">
      <c r="B35" s="127"/>
      <c r="C35" s="126"/>
      <c r="D35" s="174"/>
      <c r="E35" s="125"/>
      <c r="F35" s="125"/>
      <c r="G35" s="125"/>
      <c r="H35" s="125"/>
      <c r="I35" s="125"/>
      <c r="J35" s="125"/>
      <c r="K35" s="125"/>
      <c r="L35" s="67"/>
      <c r="M35" s="127"/>
      <c r="N35" s="126"/>
      <c r="O35" s="174"/>
      <c r="P35" s="125"/>
      <c r="Q35" s="125"/>
      <c r="R35" s="125"/>
      <c r="S35" s="125"/>
      <c r="T35" s="125"/>
      <c r="U35" s="125"/>
      <c r="V35" s="125"/>
      <c r="W35" s="67"/>
      <c r="X35" s="127"/>
      <c r="Y35" s="126"/>
      <c r="Z35" s="174"/>
      <c r="AA35" s="125"/>
      <c r="AB35" s="125"/>
      <c r="AC35" s="125"/>
      <c r="AD35" s="125"/>
      <c r="AE35" s="125"/>
      <c r="AF35" s="125"/>
      <c r="AG35" s="125"/>
      <c r="AH35" s="67"/>
      <c r="AI35" s="127"/>
      <c r="AJ35" s="126"/>
      <c r="AK35" s="174"/>
      <c r="AL35" s="125"/>
      <c r="AM35" s="125"/>
      <c r="AN35" s="125"/>
      <c r="AO35" s="125"/>
      <c r="AP35" s="125"/>
      <c r="AQ35" s="125"/>
      <c r="AR35" s="125"/>
    </row>
    <row r="36" spans="2:44" ht="15.75">
      <c r="B36" s="127"/>
      <c r="C36" s="126"/>
      <c r="D36" s="174"/>
      <c r="E36" s="125"/>
      <c r="F36" s="125"/>
      <c r="G36" s="125"/>
      <c r="H36" s="125"/>
      <c r="I36" s="125"/>
      <c r="J36" s="125"/>
      <c r="K36" s="125"/>
      <c r="L36" s="67"/>
      <c r="M36" s="127"/>
      <c r="N36" s="126"/>
      <c r="O36" s="174"/>
      <c r="P36" s="125"/>
      <c r="Q36" s="125"/>
      <c r="R36" s="125"/>
      <c r="S36" s="125"/>
      <c r="T36" s="125"/>
      <c r="U36" s="125"/>
      <c r="V36" s="125"/>
      <c r="W36" s="67"/>
      <c r="X36" s="127"/>
      <c r="Y36" s="126"/>
      <c r="Z36" s="174"/>
      <c r="AA36" s="125"/>
      <c r="AB36" s="125"/>
      <c r="AC36" s="125"/>
      <c r="AD36" s="125"/>
      <c r="AE36" s="125"/>
      <c r="AF36" s="125"/>
      <c r="AG36" s="125"/>
      <c r="AH36" s="67"/>
      <c r="AI36" s="127"/>
      <c r="AJ36" s="126"/>
      <c r="AK36" s="174"/>
      <c r="AL36" s="125"/>
      <c r="AM36" s="125"/>
      <c r="AN36" s="125"/>
      <c r="AO36" s="125"/>
      <c r="AP36" s="125"/>
      <c r="AQ36" s="125"/>
      <c r="AR36" s="125"/>
    </row>
    <row r="37" spans="2:44" ht="15.75">
      <c r="B37" s="127"/>
      <c r="C37" s="126"/>
      <c r="D37" s="174"/>
      <c r="E37" s="125"/>
      <c r="F37" s="125"/>
      <c r="G37" s="125"/>
      <c r="H37" s="125"/>
      <c r="I37" s="125"/>
      <c r="J37" s="125"/>
      <c r="K37" s="125"/>
      <c r="L37" s="67"/>
      <c r="M37" s="127"/>
      <c r="N37" s="126"/>
      <c r="O37" s="174"/>
      <c r="P37" s="125"/>
      <c r="Q37" s="125"/>
      <c r="R37" s="125"/>
      <c r="S37" s="125"/>
      <c r="T37" s="125"/>
      <c r="U37" s="125"/>
      <c r="V37" s="125"/>
      <c r="W37" s="67"/>
      <c r="X37" s="127"/>
      <c r="Y37" s="126"/>
      <c r="Z37" s="174"/>
      <c r="AA37" s="125"/>
      <c r="AB37" s="125"/>
      <c r="AC37" s="125"/>
      <c r="AD37" s="125"/>
      <c r="AE37" s="125"/>
      <c r="AF37" s="125"/>
      <c r="AG37" s="125"/>
      <c r="AH37" s="67"/>
      <c r="AI37" s="127"/>
      <c r="AJ37" s="126"/>
      <c r="AK37" s="174"/>
      <c r="AL37" s="125"/>
      <c r="AM37" s="125"/>
      <c r="AN37" s="125"/>
      <c r="AO37" s="125"/>
      <c r="AP37" s="125"/>
      <c r="AQ37" s="125"/>
      <c r="AR37" s="125"/>
    </row>
    <row r="38" spans="2:44" ht="15.75">
      <c r="B38" s="127"/>
      <c r="C38" s="126"/>
      <c r="D38" s="174"/>
      <c r="E38" s="125"/>
      <c r="F38" s="125"/>
      <c r="G38" s="125"/>
      <c r="H38" s="125"/>
      <c r="I38" s="125"/>
      <c r="J38" s="125"/>
      <c r="K38" s="125"/>
      <c r="L38" s="67"/>
      <c r="M38" s="127"/>
      <c r="N38" s="126"/>
      <c r="O38" s="174"/>
      <c r="P38" s="125"/>
      <c r="Q38" s="125"/>
      <c r="R38" s="125"/>
      <c r="S38" s="125"/>
      <c r="T38" s="125"/>
      <c r="U38" s="125"/>
      <c r="V38" s="125"/>
      <c r="W38" s="67"/>
      <c r="X38" s="127"/>
      <c r="Y38" s="126"/>
      <c r="Z38" s="174"/>
      <c r="AA38" s="125"/>
      <c r="AB38" s="125"/>
      <c r="AC38" s="125"/>
      <c r="AD38" s="125"/>
      <c r="AE38" s="125"/>
      <c r="AF38" s="125"/>
      <c r="AG38" s="125"/>
      <c r="AH38" s="67"/>
      <c r="AI38" s="127"/>
      <c r="AJ38" s="126"/>
      <c r="AK38" s="174"/>
      <c r="AL38" s="125"/>
      <c r="AM38" s="125"/>
      <c r="AN38" s="125"/>
      <c r="AO38" s="125"/>
      <c r="AP38" s="125"/>
      <c r="AQ38" s="125"/>
      <c r="AR38" s="125"/>
    </row>
    <row r="39" spans="2:44" ht="15.75">
      <c r="B39" s="127"/>
      <c r="C39" s="126"/>
      <c r="D39" s="174"/>
      <c r="E39" s="125"/>
      <c r="F39" s="125"/>
      <c r="G39" s="125"/>
      <c r="H39" s="125"/>
      <c r="I39" s="125"/>
      <c r="J39" s="125"/>
      <c r="K39" s="125"/>
      <c r="L39" s="67"/>
      <c r="M39" s="127"/>
      <c r="N39" s="126"/>
      <c r="O39" s="174"/>
      <c r="P39" s="125"/>
      <c r="Q39" s="125"/>
      <c r="R39" s="125"/>
      <c r="S39" s="125"/>
      <c r="T39" s="125"/>
      <c r="U39" s="125"/>
      <c r="V39" s="125"/>
      <c r="W39" s="67"/>
      <c r="X39" s="127"/>
      <c r="Y39" s="126"/>
      <c r="Z39" s="174"/>
      <c r="AA39" s="125"/>
      <c r="AB39" s="125"/>
      <c r="AC39" s="125"/>
      <c r="AD39" s="125"/>
      <c r="AE39" s="125"/>
      <c r="AF39" s="125"/>
      <c r="AG39" s="125"/>
      <c r="AH39" s="67"/>
      <c r="AI39" s="127"/>
      <c r="AJ39" s="126"/>
      <c r="AK39" s="174"/>
      <c r="AL39" s="125"/>
      <c r="AM39" s="125"/>
      <c r="AN39" s="125"/>
      <c r="AO39" s="125"/>
      <c r="AP39" s="125"/>
      <c r="AQ39" s="125"/>
      <c r="AR39" s="125"/>
    </row>
    <row r="40" spans="2:44" ht="15.75">
      <c r="B40" s="127"/>
      <c r="C40" s="126"/>
      <c r="D40" s="174"/>
      <c r="E40" s="125"/>
      <c r="F40" s="125"/>
      <c r="G40" s="125"/>
      <c r="H40" s="125"/>
      <c r="I40" s="125"/>
      <c r="J40" s="125"/>
      <c r="K40" s="125"/>
      <c r="L40" s="67"/>
      <c r="M40" s="127"/>
      <c r="N40" s="126"/>
      <c r="O40" s="174"/>
      <c r="P40" s="125"/>
      <c r="Q40" s="125"/>
      <c r="R40" s="125"/>
      <c r="S40" s="125"/>
      <c r="T40" s="125"/>
      <c r="U40" s="125"/>
      <c r="V40" s="125"/>
      <c r="W40" s="67"/>
      <c r="X40" s="127"/>
      <c r="Y40" s="126"/>
      <c r="Z40" s="174"/>
      <c r="AA40" s="125"/>
      <c r="AB40" s="125"/>
      <c r="AC40" s="125"/>
      <c r="AD40" s="125"/>
      <c r="AE40" s="125"/>
      <c r="AF40" s="125"/>
      <c r="AG40" s="125"/>
      <c r="AH40" s="67"/>
      <c r="AI40" s="127"/>
      <c r="AJ40" s="126"/>
      <c r="AK40" s="174"/>
      <c r="AL40" s="125"/>
      <c r="AM40" s="125"/>
      <c r="AN40" s="125"/>
      <c r="AO40" s="125"/>
      <c r="AP40" s="125"/>
      <c r="AQ40" s="125"/>
      <c r="AR40" s="125"/>
    </row>
    <row r="41" spans="2:44" ht="15.75">
      <c r="B41" s="127"/>
      <c r="C41" s="126"/>
      <c r="D41" s="174"/>
      <c r="E41" s="125"/>
      <c r="F41" s="125"/>
      <c r="G41" s="125"/>
      <c r="H41" s="125"/>
      <c r="I41" s="125"/>
      <c r="J41" s="125"/>
      <c r="K41" s="125"/>
      <c r="L41" s="67"/>
      <c r="M41" s="127"/>
      <c r="N41" s="126"/>
      <c r="O41" s="174"/>
      <c r="P41" s="125"/>
      <c r="Q41" s="125"/>
      <c r="R41" s="125"/>
      <c r="S41" s="125"/>
      <c r="T41" s="125"/>
      <c r="U41" s="125"/>
      <c r="V41" s="125"/>
      <c r="W41" s="67"/>
      <c r="X41" s="127"/>
      <c r="Y41" s="126"/>
      <c r="Z41" s="174"/>
      <c r="AA41" s="125"/>
      <c r="AB41" s="125"/>
      <c r="AC41" s="125"/>
      <c r="AD41" s="125"/>
      <c r="AE41" s="125"/>
      <c r="AF41" s="125"/>
      <c r="AG41" s="125"/>
      <c r="AH41" s="67"/>
      <c r="AI41" s="127"/>
      <c r="AJ41" s="126"/>
      <c r="AK41" s="174"/>
      <c r="AL41" s="125"/>
      <c r="AM41" s="125"/>
      <c r="AN41" s="125"/>
      <c r="AO41" s="125"/>
      <c r="AP41" s="125"/>
      <c r="AQ41" s="125"/>
      <c r="AR41" s="125"/>
    </row>
    <row r="42" spans="2:44" ht="15.75">
      <c r="B42" s="127"/>
      <c r="C42" s="126"/>
      <c r="D42" s="174"/>
      <c r="E42" s="125"/>
      <c r="F42" s="125"/>
      <c r="G42" s="125"/>
      <c r="H42" s="125"/>
      <c r="I42" s="125"/>
      <c r="J42" s="125"/>
      <c r="K42" s="125"/>
      <c r="L42" s="67"/>
      <c r="M42" s="127"/>
      <c r="N42" s="126"/>
      <c r="O42" s="174"/>
      <c r="P42" s="125"/>
      <c r="Q42" s="125"/>
      <c r="R42" s="125"/>
      <c r="S42" s="125"/>
      <c r="T42" s="125"/>
      <c r="U42" s="125"/>
      <c r="V42" s="125"/>
      <c r="W42" s="67"/>
      <c r="X42" s="127"/>
      <c r="Y42" s="126"/>
      <c r="Z42" s="174"/>
      <c r="AA42" s="125"/>
      <c r="AB42" s="125"/>
      <c r="AC42" s="125"/>
      <c r="AD42" s="125"/>
      <c r="AE42" s="125"/>
      <c r="AF42" s="125"/>
      <c r="AG42" s="125"/>
      <c r="AH42" s="67"/>
      <c r="AI42" s="127"/>
      <c r="AJ42" s="126"/>
      <c r="AK42" s="174"/>
      <c r="AL42" s="125"/>
      <c r="AM42" s="125"/>
      <c r="AN42" s="125"/>
      <c r="AO42" s="125"/>
      <c r="AP42" s="125"/>
      <c r="AQ42" s="125"/>
      <c r="AR42" s="125"/>
    </row>
    <row r="43" spans="2:44" ht="15.75">
      <c r="B43" s="127"/>
      <c r="C43" s="126"/>
      <c r="D43" s="174"/>
      <c r="E43" s="125"/>
      <c r="F43" s="125"/>
      <c r="G43" s="125"/>
      <c r="H43" s="125"/>
      <c r="I43" s="125"/>
      <c r="J43" s="125"/>
      <c r="K43" s="125"/>
      <c r="L43" s="67"/>
      <c r="M43" s="127"/>
      <c r="N43" s="126"/>
      <c r="O43" s="174"/>
      <c r="P43" s="125"/>
      <c r="Q43" s="125"/>
      <c r="R43" s="125"/>
      <c r="S43" s="125"/>
      <c r="T43" s="125"/>
      <c r="U43" s="125"/>
      <c r="V43" s="125"/>
      <c r="W43" s="67"/>
      <c r="X43" s="127"/>
      <c r="Y43" s="126"/>
      <c r="Z43" s="174"/>
      <c r="AA43" s="125"/>
      <c r="AB43" s="125"/>
      <c r="AC43" s="125"/>
      <c r="AD43" s="125"/>
      <c r="AE43" s="125"/>
      <c r="AF43" s="125"/>
      <c r="AG43" s="125"/>
      <c r="AH43" s="67"/>
      <c r="AI43" s="127"/>
      <c r="AJ43" s="126"/>
      <c r="AK43" s="174"/>
      <c r="AL43" s="125"/>
      <c r="AM43" s="125"/>
      <c r="AN43" s="125"/>
      <c r="AO43" s="125"/>
      <c r="AP43" s="125"/>
      <c r="AQ43" s="125"/>
      <c r="AR43" s="125"/>
    </row>
    <row r="44" spans="2:44" ht="15.75">
      <c r="B44" s="127"/>
      <c r="C44" s="126"/>
      <c r="D44" s="174"/>
      <c r="E44" s="125"/>
      <c r="F44" s="125"/>
      <c r="G44" s="125"/>
      <c r="H44" s="125"/>
      <c r="I44" s="125"/>
      <c r="J44" s="125"/>
      <c r="K44" s="125"/>
      <c r="L44" s="67"/>
      <c r="M44" s="127"/>
      <c r="N44" s="126"/>
      <c r="O44" s="174"/>
      <c r="P44" s="125"/>
      <c r="Q44" s="125"/>
      <c r="R44" s="125"/>
      <c r="S44" s="125"/>
      <c r="T44" s="125"/>
      <c r="U44" s="125"/>
      <c r="V44" s="125"/>
      <c r="W44" s="67"/>
      <c r="X44" s="127"/>
      <c r="Y44" s="126"/>
      <c r="Z44" s="174"/>
      <c r="AA44" s="125"/>
      <c r="AB44" s="125"/>
      <c r="AC44" s="125"/>
      <c r="AD44" s="125"/>
      <c r="AE44" s="125"/>
      <c r="AF44" s="125"/>
      <c r="AG44" s="125"/>
      <c r="AH44" s="67"/>
      <c r="AI44" s="127"/>
      <c r="AJ44" s="126"/>
      <c r="AK44" s="174"/>
      <c r="AL44" s="125"/>
      <c r="AM44" s="125"/>
      <c r="AN44" s="125"/>
      <c r="AO44" s="125"/>
      <c r="AP44" s="125"/>
      <c r="AQ44" s="125"/>
      <c r="AR44" s="125"/>
    </row>
    <row r="45" spans="2:44" ht="15.75">
      <c r="B45" s="127"/>
      <c r="C45" s="126"/>
      <c r="D45" s="174"/>
      <c r="E45" s="125"/>
      <c r="F45" s="125"/>
      <c r="G45" s="125"/>
      <c r="H45" s="125"/>
      <c r="I45" s="125"/>
      <c r="J45" s="125"/>
      <c r="K45" s="125"/>
      <c r="L45" s="67"/>
      <c r="M45" s="127"/>
      <c r="N45" s="126"/>
      <c r="O45" s="174"/>
      <c r="P45" s="125"/>
      <c r="Q45" s="125"/>
      <c r="R45" s="125"/>
      <c r="S45" s="125"/>
      <c r="T45" s="125"/>
      <c r="U45" s="125"/>
      <c r="V45" s="125"/>
      <c r="W45" s="67"/>
      <c r="X45" s="127"/>
      <c r="Y45" s="126"/>
      <c r="Z45" s="174"/>
      <c r="AA45" s="125"/>
      <c r="AB45" s="125"/>
      <c r="AC45" s="125"/>
      <c r="AD45" s="125"/>
      <c r="AE45" s="125"/>
      <c r="AF45" s="125"/>
      <c r="AG45" s="125"/>
      <c r="AH45" s="67"/>
      <c r="AI45" s="127"/>
      <c r="AJ45" s="126"/>
      <c r="AK45" s="174"/>
      <c r="AL45" s="125"/>
      <c r="AM45" s="125"/>
      <c r="AN45" s="125"/>
      <c r="AO45" s="125"/>
      <c r="AP45" s="125"/>
      <c r="AQ45" s="125"/>
      <c r="AR45" s="125"/>
    </row>
    <row r="46" spans="2:44" ht="16.5" thickBot="1">
      <c r="B46" s="127"/>
      <c r="C46" s="126"/>
      <c r="D46" s="174"/>
      <c r="E46" s="125"/>
      <c r="F46" s="125"/>
      <c r="G46" s="125"/>
      <c r="H46" s="125"/>
      <c r="I46" s="125"/>
      <c r="J46" s="125"/>
      <c r="K46" s="125"/>
      <c r="L46" s="67"/>
      <c r="M46" s="127"/>
      <c r="N46" s="126"/>
      <c r="O46" s="174"/>
      <c r="P46" s="125"/>
      <c r="Q46" s="125"/>
      <c r="R46" s="125"/>
      <c r="S46" s="125"/>
      <c r="T46" s="125"/>
      <c r="U46" s="125"/>
      <c r="V46" s="125"/>
      <c r="W46" s="67"/>
      <c r="X46" s="127"/>
      <c r="Y46" s="126"/>
      <c r="Z46" s="174"/>
      <c r="AA46" s="125"/>
      <c r="AB46" s="125"/>
      <c r="AC46" s="125"/>
      <c r="AD46" s="125"/>
      <c r="AE46" s="125"/>
      <c r="AF46" s="125"/>
      <c r="AG46" s="125"/>
      <c r="AH46" s="67"/>
      <c r="AI46" s="127"/>
      <c r="AJ46" s="126"/>
      <c r="AK46" s="174"/>
      <c r="AL46" s="125"/>
      <c r="AM46" s="125"/>
      <c r="AN46" s="125"/>
      <c r="AO46" s="125"/>
      <c r="AP46" s="125"/>
      <c r="AQ46" s="125"/>
      <c r="AR46" s="125"/>
    </row>
    <row r="47" spans="2:44" ht="14.25">
      <c r="B47" s="43" t="s">
        <v>66</v>
      </c>
      <c r="C47" s="42" t="s">
        <v>86</v>
      </c>
      <c r="D47" s="175" t="s">
        <v>86</v>
      </c>
      <c r="E47" s="199">
        <f>SUM(E7:E29)</f>
        <v>0</v>
      </c>
      <c r="F47" s="199">
        <f>IFERROR(G47/E47,0)</f>
        <v>0</v>
      </c>
      <c r="G47" s="199">
        <f>SUM(G7:G29)</f>
        <v>0</v>
      </c>
      <c r="H47" s="199">
        <f>IFERROR(I47/E47,0)</f>
        <v>0</v>
      </c>
      <c r="I47" s="199">
        <f>SUM(I7:I29)</f>
        <v>0</v>
      </c>
      <c r="J47" s="199">
        <f>IFERROR(K47/E47,0)</f>
        <v>0</v>
      </c>
      <c r="K47" s="199">
        <f>SUM(K7:K29)</f>
        <v>0</v>
      </c>
      <c r="M47" s="43" t="s">
        <v>66</v>
      </c>
      <c r="N47" s="42" t="s">
        <v>86</v>
      </c>
      <c r="O47" s="175" t="s">
        <v>86</v>
      </c>
      <c r="P47" s="199">
        <f>SUM(P7:P31)</f>
        <v>174.79999999999998</v>
      </c>
      <c r="Q47" s="199">
        <f>R47/P47</f>
        <v>29.960549199084667</v>
      </c>
      <c r="R47" s="199">
        <f>SUM(R7:R31)</f>
        <v>5237.1039999999994</v>
      </c>
      <c r="S47" s="199">
        <f>T47/P47</f>
        <v>130.9804691075515</v>
      </c>
      <c r="T47" s="199">
        <f>SUM(T7:T31)</f>
        <v>22895.385999999999</v>
      </c>
      <c r="U47" s="199">
        <f>V47/P47</f>
        <v>1.0816590389016016</v>
      </c>
      <c r="V47" s="199">
        <f>SUM(V7:V31)</f>
        <v>189.07399999999996</v>
      </c>
      <c r="X47" s="43" t="s">
        <v>66</v>
      </c>
      <c r="Y47" s="42" t="s">
        <v>86</v>
      </c>
      <c r="Z47" s="175" t="s">
        <v>86</v>
      </c>
      <c r="AA47" s="199">
        <f>SUM(AA7:AA31)</f>
        <v>161.29999999999998</v>
      </c>
      <c r="AB47" s="199">
        <f>AC47/AA47</f>
        <v>30.403620582765033</v>
      </c>
      <c r="AC47" s="199">
        <f>SUM(AC7:AC31)</f>
        <v>4904.1039999999994</v>
      </c>
      <c r="AD47" s="199">
        <f>AE47/AA47</f>
        <v>138.84306261624303</v>
      </c>
      <c r="AE47" s="199">
        <f>SUM(AE7:AE31)</f>
        <v>22395.385999999999</v>
      </c>
      <c r="AF47" s="199">
        <f>AG47/AA47</f>
        <v>1.0993428394296343</v>
      </c>
      <c r="AG47" s="199">
        <f>SUM(AG7:AG31)</f>
        <v>177.32399999999998</v>
      </c>
      <c r="AI47" s="43" t="s">
        <v>66</v>
      </c>
      <c r="AJ47" s="42" t="s">
        <v>86</v>
      </c>
      <c r="AK47" s="175" t="s">
        <v>86</v>
      </c>
      <c r="AL47" s="199">
        <f>SUM(AL7:AL31)</f>
        <v>150.5</v>
      </c>
      <c r="AM47" s="199">
        <f>AN47/AL47</f>
        <v>30.815308970099665</v>
      </c>
      <c r="AN47" s="199">
        <f>SUM(AN7:AN31)</f>
        <v>4637.7039999999997</v>
      </c>
      <c r="AO47" s="199">
        <f>AP47/AL47</f>
        <v>146.14874418604651</v>
      </c>
      <c r="AP47" s="199">
        <f>SUM(AP7:AP31)</f>
        <v>21995.385999999999</v>
      </c>
      <c r="AQ47" s="199">
        <f>AR47/AL47</f>
        <v>1.1157740863787375</v>
      </c>
      <c r="AR47" s="199">
        <f>SUM(AR7:AR31)</f>
        <v>167.92400000000001</v>
      </c>
    </row>
  </sheetData>
  <mergeCells count="4">
    <mergeCell ref="B2:K2"/>
    <mergeCell ref="M2:V2"/>
    <mergeCell ref="X2:AG2"/>
    <mergeCell ref="AI2:AR2"/>
  </mergeCells>
  <phoneticPr fontId="10" type="noConversion"/>
  <printOptions horizontalCentered="1" verticalCentered="1"/>
  <pageMargins left="0.5" right="0.5" top="0.25" bottom="0.25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PermBallast</vt:lpstr>
      <vt:lpstr>FSMTable</vt:lpstr>
      <vt:lpstr>RollPeriod</vt:lpstr>
      <vt:lpstr>Hydro</vt:lpstr>
      <vt:lpstr>TrimTable</vt:lpstr>
      <vt:lpstr>KG Req</vt:lpstr>
      <vt:lpstr>Icing</vt:lpstr>
      <vt:lpstr>TankCap</vt:lpstr>
      <vt:lpstr>CargoSpaces</vt:lpstr>
      <vt:lpstr>GMTanks</vt:lpstr>
      <vt:lpstr>GMWeight</vt:lpstr>
      <vt:lpstr>TLI</vt:lpstr>
      <vt:lpstr>RMT MTR OPS</vt:lpstr>
      <vt:lpstr>SummaryLoad</vt:lpstr>
      <vt:lpstr>TankLoad</vt:lpstr>
      <vt:lpstr>MissionLoad</vt:lpstr>
      <vt:lpstr>Chart-RollPeriod</vt:lpstr>
      <vt:lpstr>GMTanks!Print_Area</vt:lpstr>
      <vt:lpstr>Hydro!Print_Area</vt:lpstr>
      <vt:lpstr>'KG Req'!Print_Area</vt:lpstr>
      <vt:lpstr>TankCap!Print_Area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Koetsier, Joshua</dc:creator>
  <cp:lastModifiedBy>Joshua Koetsier</cp:lastModifiedBy>
  <cp:lastPrinted>2013-12-05T15:59:30Z</cp:lastPrinted>
  <dcterms:created xsi:type="dcterms:W3CDTF">2009-12-04T19:22:30Z</dcterms:created>
  <dcterms:modified xsi:type="dcterms:W3CDTF">2014-02-03T15:56:28Z</dcterms:modified>
</cp:coreProperties>
</file>